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改情况" sheetId="2" r:id="rId1"/>
  </sheets>
  <definedNames>
    <definedName name="_xlnm._FilterDatabase" localSheetId="0" hidden="1">整改情况!$A$2:$F$309</definedName>
  </definedNames>
  <calcPr calcId="144525"/>
</workbook>
</file>

<file path=xl/sharedStrings.xml><?xml version="1.0" encoding="utf-8"?>
<sst xmlns="http://schemas.openxmlformats.org/spreadsheetml/2006/main" count="484" uniqueCount="414">
  <si>
    <t>三亚市2026年7月份常态化开展病媒生物蚊虫孳生地督导问题图片整改情况汇总</t>
  </si>
  <si>
    <t>序号</t>
  </si>
  <si>
    <t>项目名称</t>
  </si>
  <si>
    <t>问题描述</t>
  </si>
  <si>
    <t>现场图片1</t>
  </si>
  <si>
    <t>现场图片2</t>
  </si>
  <si>
    <t>整改情况</t>
  </si>
  <si>
    <t>整改措施</t>
  </si>
  <si>
    <t>整改图片
（使用水印相机拍摄，能体现时间、地点、天气）</t>
  </si>
  <si>
    <r>
      <rPr>
        <sz val="12"/>
        <color rgb="FF000000"/>
        <rFont val="宋体"/>
        <charset val="134"/>
      </rPr>
      <t>一、保利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地块一期</t>
    </r>
  </si>
  <si>
    <r>
      <t>1.</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地块一期施工现场院内发现阳性积水（已现场整改）</t>
    </r>
  </si>
  <si>
    <r>
      <rPr>
        <sz val="12"/>
        <color rgb="FF000000"/>
        <rFont val="宋体"/>
        <charset val="134"/>
      </rPr>
      <t>已整改</t>
    </r>
  </si>
  <si>
    <t>/</t>
  </si>
  <si>
    <r>
      <t>2.</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地块一期施工现场院内发现阳性积水（已现场整改）</t>
    </r>
  </si>
  <si>
    <r>
      <t>3.</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地块一期施工现场地下室发现阳性积水（已现场整改）</t>
    </r>
  </si>
  <si>
    <r>
      <t>4.</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地块一期消杀施工记录表不规范（无使用药剂、药剂浓度配比、用药总量、消杀作业内容、作业面积等）</t>
    </r>
  </si>
  <si>
    <r>
      <rPr>
        <sz val="12"/>
        <color rgb="FF000000"/>
        <rFont val="宋体"/>
        <charset val="134"/>
      </rPr>
      <t>二、保利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t>
    </r>
  </si>
  <si>
    <r>
      <t>1.</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地块二期施工现场院内发现阳性积水</t>
    </r>
  </si>
  <si>
    <r>
      <t>2.</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地块二期施工现场地下室成蚊密度较高，发现阳性积水</t>
    </r>
  </si>
  <si>
    <r>
      <t>3.</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地块二期施工现场地下室发现阳性积水</t>
    </r>
  </si>
  <si>
    <r>
      <t>4.</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地块二期工人生活区发现阳性积水</t>
    </r>
  </si>
  <si>
    <r>
      <t>5.</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01A</t>
    </r>
    <r>
      <rPr>
        <sz val="12"/>
        <color rgb="FF000000"/>
        <rFont val="宋体"/>
        <charset val="134"/>
      </rPr>
      <t>地块二期消杀施工记录表填写不到位（施工方式、防治面积未填写）</t>
    </r>
  </si>
  <si>
    <r>
      <rPr>
        <sz val="12"/>
        <color rgb="FF000000"/>
        <rFont val="宋体"/>
        <charset val="134"/>
      </rPr>
      <t>三、保利</t>
    </r>
    <r>
      <rPr>
        <sz val="12"/>
        <color rgb="FF000000"/>
        <rFont val="Times New Roman"/>
        <charset val="134"/>
      </rPr>
      <t>·</t>
    </r>
    <r>
      <rPr>
        <sz val="12"/>
        <color rgb="FF000000"/>
        <rFont val="宋体"/>
        <charset val="134"/>
      </rPr>
      <t>天珺项目</t>
    </r>
    <r>
      <rPr>
        <sz val="12"/>
        <color rgb="FF000000"/>
        <rFont val="Times New Roman"/>
        <charset val="134"/>
      </rPr>
      <t>02AB</t>
    </r>
    <r>
      <rPr>
        <sz val="12"/>
        <color rgb="FF000000"/>
        <rFont val="宋体"/>
        <charset val="134"/>
      </rPr>
      <t>地块一期</t>
    </r>
  </si>
  <si>
    <r>
      <t>1.</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02AB</t>
    </r>
    <r>
      <rPr>
        <sz val="12"/>
        <color rgb="FF000000"/>
        <rFont val="宋体"/>
        <charset val="134"/>
      </rPr>
      <t>地块一期施工现场地下室发现阳性积水</t>
    </r>
  </si>
  <si>
    <r>
      <t>2.</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02AB</t>
    </r>
    <r>
      <rPr>
        <sz val="12"/>
        <color rgb="FF000000"/>
        <rFont val="宋体"/>
        <charset val="134"/>
      </rPr>
      <t>地块一期施工现场地下室成蚊密度较高</t>
    </r>
  </si>
  <si>
    <r>
      <t>3.</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02AB</t>
    </r>
    <r>
      <rPr>
        <sz val="12"/>
        <color rgb="FF000000"/>
        <rFont val="宋体"/>
        <charset val="134"/>
      </rPr>
      <t>地块一期未建立人员进退场登记台账，仅有简易人员花名册</t>
    </r>
  </si>
  <si>
    <r>
      <t>4.</t>
    </r>
    <r>
      <rPr>
        <sz val="12"/>
        <color rgb="FF000000"/>
        <rFont val="宋体"/>
        <charset val="134"/>
      </rPr>
      <t>保利</t>
    </r>
    <r>
      <rPr>
        <sz val="12"/>
        <color rgb="FF000000"/>
        <rFont val="Times New Roman"/>
        <charset val="134"/>
      </rPr>
      <t>·</t>
    </r>
    <r>
      <rPr>
        <sz val="12"/>
        <color rgb="FF000000"/>
        <rFont val="宋体"/>
        <charset val="134"/>
      </rPr>
      <t>天珺项目</t>
    </r>
    <r>
      <rPr>
        <sz val="12"/>
        <color rgb="FF000000"/>
        <rFont val="Times New Roman"/>
        <charset val="134"/>
      </rPr>
      <t>02AB</t>
    </r>
    <r>
      <rPr>
        <sz val="12"/>
        <color rgb="FF000000"/>
        <rFont val="宋体"/>
        <charset val="134"/>
      </rPr>
      <t>地块一期部分消杀施工记录表填写不到位（投放位置处填写药剂浓度配比）</t>
    </r>
  </si>
  <si>
    <r>
      <rPr>
        <sz val="12"/>
        <color rgb="FF000000"/>
        <rFont val="宋体"/>
        <charset val="134"/>
      </rPr>
      <t>四、美居</t>
    </r>
    <r>
      <rPr>
        <sz val="12"/>
        <color rgb="FF000000"/>
        <rFont val="Times New Roman"/>
        <charset val="134"/>
      </rPr>
      <t>-</t>
    </r>
    <r>
      <rPr>
        <sz val="12"/>
        <color rgb="FF000000"/>
        <rFont val="宋体"/>
        <charset val="134"/>
      </rPr>
      <t>三亚吉阳区凤凰路酒店装修改造项目</t>
    </r>
  </si>
  <si>
    <r>
      <t>1.</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三亚吉阳区凤凰路酒店装修改造项目工人生活区发现阳性积水</t>
    </r>
  </si>
  <si>
    <r>
      <t>2.</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三亚吉阳区凤凰路酒店装修改造项目工人生活区发现阳性积水</t>
    </r>
  </si>
  <si>
    <r>
      <t>3.</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三亚吉阳区凤凰路酒店装修改造项目工人生活区发现阳性积水</t>
    </r>
  </si>
  <si>
    <r>
      <t>4.</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三亚吉阳区凤凰路酒店装修改造项目工人生活区发现阳性积水</t>
    </r>
  </si>
  <si>
    <r>
      <t>5.</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三亚吉阳区凤凰路酒店装修改造项目消杀施工记录表不规范（无用药总量、作业面积等）</t>
    </r>
  </si>
  <si>
    <r>
      <t>6.</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三亚吉阳区凤凰路酒店装修改造项目未建立人员进退场登记台账，仅有简易人员花名册</t>
    </r>
  </si>
  <si>
    <r>
      <t>7.</t>
    </r>
    <r>
      <rPr>
        <sz val="12"/>
        <color rgb="FF000000"/>
        <rFont val="宋体"/>
        <charset val="134"/>
      </rPr>
      <t>美居</t>
    </r>
    <r>
      <rPr>
        <sz val="12"/>
        <color rgb="FF000000"/>
        <rFont val="Times New Roman"/>
        <charset val="134"/>
      </rPr>
      <t>-</t>
    </r>
    <r>
      <rPr>
        <sz val="12"/>
        <color rgb="FF000000"/>
        <rFont val="宋体"/>
        <charset val="134"/>
      </rPr>
      <t>三亚吉阳区凤凰路酒店装修改造项目工人生活区防蚊措施落实不到位</t>
    </r>
  </si>
  <si>
    <r>
      <rPr>
        <sz val="12"/>
        <color rgb="FF000000"/>
        <rFont val="宋体"/>
        <charset val="134"/>
      </rPr>
      <t>五、三亚观岚二期</t>
    </r>
  </si>
  <si>
    <r>
      <t>1.</t>
    </r>
    <r>
      <rPr>
        <sz val="12"/>
        <color rgb="FF000000"/>
        <rFont val="宋体"/>
        <charset val="134"/>
      </rPr>
      <t>三亚观岚二期工人生活区发现阳性积水</t>
    </r>
  </si>
  <si>
    <r>
      <t>2.</t>
    </r>
    <r>
      <rPr>
        <sz val="12"/>
        <color rgb="FF000000"/>
        <rFont val="宋体"/>
        <charset val="134"/>
      </rPr>
      <t>三亚观岚二期工人生活区发现阳性积水</t>
    </r>
  </si>
  <si>
    <r>
      <t>3.</t>
    </r>
    <r>
      <rPr>
        <sz val="12"/>
        <color rgb="FF000000"/>
        <rFont val="宋体"/>
        <charset val="134"/>
      </rPr>
      <t>三亚观岚二期工人生活区发现阳性积水</t>
    </r>
  </si>
  <si>
    <r>
      <t>4.</t>
    </r>
    <r>
      <rPr>
        <sz val="12"/>
        <color rgb="FF000000"/>
        <rFont val="宋体"/>
        <charset val="134"/>
      </rPr>
      <t>三亚观岚二期工人生活区防蚊措施落实不到位</t>
    </r>
  </si>
  <si>
    <r>
      <t>5.</t>
    </r>
    <r>
      <rPr>
        <sz val="12"/>
        <color rgb="FF000000"/>
        <rFont val="宋体"/>
        <charset val="134"/>
      </rPr>
      <t>三亚观岚二期消杀施工记录表不规范（无药剂浓度配比、用药总量、消杀作业内容、作业面积等）</t>
    </r>
  </si>
  <si>
    <r>
      <t>6.</t>
    </r>
    <r>
      <rPr>
        <sz val="12"/>
        <color rgb="FF000000"/>
        <rFont val="宋体"/>
        <charset val="134"/>
      </rPr>
      <t>三亚观岚二期施工现场地下室发现阳性积水</t>
    </r>
  </si>
  <si>
    <r>
      <rPr>
        <sz val="12"/>
        <color rgb="FF000000"/>
        <rFont val="宋体"/>
        <charset val="134"/>
      </rPr>
      <t>六、三亚市海罗片区城市更新项目</t>
    </r>
    <r>
      <rPr>
        <sz val="12"/>
        <color rgb="FF000000"/>
        <rFont val="Times New Roman"/>
        <charset val="134"/>
      </rPr>
      <t>HLB-2-02</t>
    </r>
    <r>
      <rPr>
        <sz val="12"/>
        <color rgb="FF000000"/>
        <rFont val="宋体"/>
        <charset val="134"/>
      </rPr>
      <t>地块</t>
    </r>
  </si>
  <si>
    <r>
      <t>1.</t>
    </r>
    <r>
      <rPr>
        <sz val="12"/>
        <color rgb="FF000000"/>
        <rFont val="宋体"/>
        <charset val="134"/>
      </rPr>
      <t>三亚市海罗片区城市更新项目</t>
    </r>
    <r>
      <rPr>
        <sz val="12"/>
        <color rgb="FF000000"/>
        <rFont val="Times New Roman"/>
        <charset val="134"/>
      </rPr>
      <t>HLB-2-02</t>
    </r>
    <r>
      <rPr>
        <sz val="12"/>
        <color rgb="FF000000"/>
        <rFont val="宋体"/>
        <charset val="134"/>
      </rPr>
      <t>地块工人生活区发现阳性积水</t>
    </r>
  </si>
  <si>
    <r>
      <t>2.</t>
    </r>
    <r>
      <rPr>
        <sz val="12"/>
        <color rgb="FF000000"/>
        <rFont val="宋体"/>
        <charset val="134"/>
      </rPr>
      <t>三亚市海罗片区城市更新项目</t>
    </r>
    <r>
      <rPr>
        <sz val="12"/>
        <color rgb="FF000000"/>
        <rFont val="Times New Roman"/>
        <charset val="134"/>
      </rPr>
      <t>HLB-2-02</t>
    </r>
    <r>
      <rPr>
        <sz val="12"/>
        <color rgb="FF000000"/>
        <rFont val="宋体"/>
        <charset val="134"/>
      </rPr>
      <t>地块工人生活区防蚊措施落实不到位</t>
    </r>
  </si>
  <si>
    <r>
      <t>3.</t>
    </r>
    <r>
      <rPr>
        <sz val="12"/>
        <color rgb="FF000000"/>
        <rFont val="宋体"/>
        <charset val="134"/>
      </rPr>
      <t>三亚市海罗片区城市更新项目</t>
    </r>
    <r>
      <rPr>
        <sz val="12"/>
        <color rgb="FF000000"/>
        <rFont val="Times New Roman"/>
        <charset val="134"/>
      </rPr>
      <t>HLB-2-02</t>
    </r>
    <r>
      <rPr>
        <sz val="12"/>
        <color rgb="FF000000"/>
        <rFont val="宋体"/>
        <charset val="134"/>
      </rPr>
      <t>地块（无药剂浓度配比、用药总量、消杀作业内容、作业面积等）</t>
    </r>
  </si>
  <si>
    <r>
      <t>4.</t>
    </r>
    <r>
      <rPr>
        <sz val="12"/>
        <color rgb="FF000000"/>
        <rFont val="宋体"/>
        <charset val="134"/>
      </rPr>
      <t>三亚市海罗片区城市更新项目</t>
    </r>
    <r>
      <rPr>
        <sz val="12"/>
        <color rgb="FF000000"/>
        <rFont val="Times New Roman"/>
        <charset val="134"/>
      </rPr>
      <t>HLB-2-02</t>
    </r>
    <r>
      <rPr>
        <sz val="12"/>
        <color rgb="FF000000"/>
        <rFont val="宋体"/>
        <charset val="134"/>
      </rPr>
      <t>地块施工现场地下室发现阳性积水</t>
    </r>
  </si>
  <si>
    <r>
      <t>5.</t>
    </r>
    <r>
      <rPr>
        <sz val="12"/>
        <color rgb="FF000000"/>
        <rFont val="宋体"/>
        <charset val="134"/>
      </rPr>
      <t>三亚市海罗片区城市更新项目</t>
    </r>
    <r>
      <rPr>
        <sz val="12"/>
        <color rgb="FF000000"/>
        <rFont val="Times New Roman"/>
        <charset val="134"/>
      </rPr>
      <t>HLB-2-02</t>
    </r>
    <r>
      <rPr>
        <sz val="12"/>
        <color rgb="FF000000"/>
        <rFont val="宋体"/>
        <charset val="134"/>
      </rPr>
      <t>地块施工现场地下室发现阳性积水</t>
    </r>
  </si>
  <si>
    <r>
      <t>6.</t>
    </r>
    <r>
      <rPr>
        <sz val="12"/>
        <color rgb="FF000000"/>
        <rFont val="宋体"/>
        <charset val="134"/>
      </rPr>
      <t>三亚市海罗片区城市更新项目</t>
    </r>
    <r>
      <rPr>
        <sz val="12"/>
        <color rgb="FF000000"/>
        <rFont val="Times New Roman"/>
        <charset val="134"/>
      </rPr>
      <t>HLB-2-02</t>
    </r>
    <r>
      <rPr>
        <sz val="12"/>
        <color rgb="FF000000"/>
        <rFont val="宋体"/>
        <charset val="134"/>
      </rPr>
      <t>地块施工现场地下室发现阳性积水</t>
    </r>
  </si>
  <si>
    <r>
      <rPr>
        <sz val="12"/>
        <color rgb="FF000000"/>
        <rFont val="宋体"/>
        <charset val="134"/>
      </rPr>
      <t>七、三亚市吉阳区海罗安置区（一期）项目</t>
    </r>
  </si>
  <si>
    <r>
      <t>1.</t>
    </r>
    <r>
      <rPr>
        <sz val="12"/>
        <color rgb="FF000000"/>
        <rFont val="宋体"/>
        <charset val="134"/>
      </rPr>
      <t>三亚市吉阳区海罗安置区（一期）项目工人生活区发现阳性积水</t>
    </r>
  </si>
  <si>
    <r>
      <t>2.</t>
    </r>
    <r>
      <rPr>
        <sz val="12"/>
        <color rgb="FF000000"/>
        <rFont val="宋体"/>
        <charset val="134"/>
      </rPr>
      <t>三亚市吉阳区海罗安置区（一期）项目工人生活区发现阳性积水</t>
    </r>
  </si>
  <si>
    <r>
      <t>3.</t>
    </r>
    <r>
      <rPr>
        <sz val="12"/>
        <color rgb="FF000000"/>
        <rFont val="宋体"/>
        <charset val="134"/>
      </rPr>
      <t>三亚市吉阳区海罗安置区（一期）项目工人生活区灭蚊灯悬挂不规范</t>
    </r>
  </si>
  <si>
    <r>
      <t>4.</t>
    </r>
    <r>
      <rPr>
        <sz val="12"/>
        <color rgb="FF000000"/>
        <rFont val="宋体"/>
        <charset val="134"/>
      </rPr>
      <t>三亚市吉阳区海罗安置区（一期）项目消杀施工记录表不规范（无用药总量、消杀作业内容、作业面积等）</t>
    </r>
  </si>
  <si>
    <r>
      <t>5.</t>
    </r>
    <r>
      <rPr>
        <sz val="12"/>
        <color rgb="FF000000"/>
        <rFont val="宋体"/>
        <charset val="134"/>
      </rPr>
      <t>三亚市吉阳区海罗安置区（一期）项目人员进退场登记台账不完善，缺少人员进场具体时间、退场销号时间</t>
    </r>
  </si>
  <si>
    <r>
      <rPr>
        <sz val="12"/>
        <color rgb="FF000000"/>
        <rFont val="宋体"/>
        <charset val="134"/>
      </rPr>
      <t>八、三亚市吉阳区南丁北片区污水配套工程项目</t>
    </r>
  </si>
  <si>
    <r>
      <t>1.</t>
    </r>
    <r>
      <rPr>
        <sz val="12"/>
        <color rgb="FF000000"/>
        <rFont val="宋体"/>
        <charset val="134"/>
      </rPr>
      <t>三亚市吉阳区南丁北片区污水配套工程项目工人生活区发现阳性积水</t>
    </r>
  </si>
  <si>
    <r>
      <t>2.</t>
    </r>
    <r>
      <rPr>
        <sz val="12"/>
        <color rgb="FF000000"/>
        <rFont val="宋体"/>
        <charset val="134"/>
      </rPr>
      <t>三亚市吉阳区南丁北片区污水配套工程项目工人生活区发现阳性积水</t>
    </r>
  </si>
  <si>
    <r>
      <t>3.</t>
    </r>
    <r>
      <rPr>
        <sz val="12"/>
        <color rgb="FF000000"/>
        <rFont val="宋体"/>
        <charset val="134"/>
      </rPr>
      <t>三亚市吉阳区南丁北片区污水配套工程项目工人生活区防蚊措施落实不到位</t>
    </r>
  </si>
  <si>
    <r>
      <t>4.</t>
    </r>
    <r>
      <rPr>
        <sz val="12"/>
        <color rgb="FF000000"/>
        <rFont val="宋体"/>
        <charset val="134"/>
      </rPr>
      <t>三亚市吉阳区南丁北片区污水配套工程项目消杀施工记录表不规范（无使用药剂、药剂浓度配比、用药总量、消杀作业内容、作业面积等）</t>
    </r>
  </si>
  <si>
    <r>
      <rPr>
        <sz val="12"/>
        <color rgb="FF000000"/>
        <rFont val="宋体"/>
        <charset val="134"/>
      </rPr>
      <t>九、三亚市吉阳区南丁安置区基础配套项目</t>
    </r>
  </si>
  <si>
    <r>
      <t>1.</t>
    </r>
    <r>
      <rPr>
        <sz val="12"/>
        <color rgb="FF000000"/>
        <rFont val="宋体"/>
        <charset val="134"/>
      </rPr>
      <t>三亚市吉阳区南丁安置区基础配套项目工人生活区发现阳性积水</t>
    </r>
  </si>
  <si>
    <r>
      <t>2.</t>
    </r>
    <r>
      <rPr>
        <sz val="12"/>
        <color rgb="FF000000"/>
        <rFont val="宋体"/>
        <charset val="134"/>
      </rPr>
      <t>三亚市吉阳区南丁安置区基础配套项目工人生活区发现阳性积水</t>
    </r>
  </si>
  <si>
    <r>
      <t>3.</t>
    </r>
    <r>
      <rPr>
        <sz val="12"/>
        <color rgb="FF000000"/>
        <rFont val="宋体"/>
        <charset val="134"/>
      </rPr>
      <t>三亚市吉阳区南丁安置区基础配套项目工人生活区发现阳性积水</t>
    </r>
  </si>
  <si>
    <r>
      <t>4.</t>
    </r>
    <r>
      <rPr>
        <sz val="12"/>
        <color rgb="FF000000"/>
        <rFont val="宋体"/>
        <charset val="134"/>
      </rPr>
      <t>三亚市吉阳区南丁安置区基础配套项目工人生活区防蚊措施落实不到位</t>
    </r>
  </si>
  <si>
    <r>
      <t>5.</t>
    </r>
    <r>
      <rPr>
        <sz val="12"/>
        <color rgb="FF000000"/>
        <rFont val="宋体"/>
        <charset val="134"/>
      </rPr>
      <t>三亚市吉阳区南丁安置区基础配套项目消杀施工记录表不规范（无药剂浓度配比、用药总量、消杀作业内容、作业面积等）</t>
    </r>
  </si>
  <si>
    <r>
      <rPr>
        <sz val="12"/>
        <color rgb="FF000000"/>
        <rFont val="宋体"/>
        <charset val="134"/>
      </rPr>
      <t>十、海南蓝带啤酒有限公司年产</t>
    </r>
    <r>
      <rPr>
        <sz val="12"/>
        <color rgb="FF000000"/>
        <rFont val="Times New Roman"/>
        <charset val="134"/>
      </rPr>
      <t>20</t>
    </r>
    <r>
      <rPr>
        <sz val="12"/>
        <color rgb="FF000000"/>
        <rFont val="宋体"/>
        <charset val="134"/>
      </rPr>
      <t>万千升啤酒智能数字化生产项目</t>
    </r>
  </si>
  <si>
    <r>
      <t>1.</t>
    </r>
    <r>
      <rPr>
        <sz val="12"/>
        <color rgb="FF000000"/>
        <rFont val="宋体"/>
        <charset val="134"/>
      </rPr>
      <t>海南蓝带啤酒有限公司年产</t>
    </r>
    <r>
      <rPr>
        <sz val="12"/>
        <color rgb="FF000000"/>
        <rFont val="Times New Roman"/>
        <charset val="134"/>
      </rPr>
      <t>20</t>
    </r>
    <r>
      <rPr>
        <sz val="12"/>
        <color rgb="FF000000"/>
        <rFont val="宋体"/>
        <charset val="134"/>
      </rPr>
      <t>万千升啤酒智能数字化生产项目工人生活区防蚊措施落实不到位</t>
    </r>
  </si>
  <si>
    <r>
      <rPr>
        <sz val="12"/>
        <color rgb="FF000000"/>
        <rFont val="宋体"/>
        <charset val="134"/>
      </rPr>
      <t>十一、三亚市森海路、南丁岭路市政道路工程项目</t>
    </r>
  </si>
  <si>
    <r>
      <t>1.</t>
    </r>
    <r>
      <rPr>
        <sz val="12"/>
        <color rgb="FF000000"/>
        <rFont val="宋体"/>
        <charset val="134"/>
      </rPr>
      <t>三亚市森海路、南丁岭路市政道路工程项目工人生活区周边发现阳性积水</t>
    </r>
  </si>
  <si>
    <r>
      <t>2.</t>
    </r>
    <r>
      <rPr>
        <sz val="12"/>
        <color rgb="FF000000"/>
        <rFont val="宋体"/>
        <charset val="134"/>
      </rPr>
      <t>三亚市森海路、南丁岭路市政道路工程项目工人生活区周边发现阳性积水</t>
    </r>
  </si>
  <si>
    <r>
      <t>3.</t>
    </r>
    <r>
      <rPr>
        <sz val="12"/>
        <color rgb="FF000000"/>
        <rFont val="宋体"/>
        <charset val="134"/>
      </rPr>
      <t>三亚市森海路、南丁岭路市政道路工程项目工人生活区周边发现阳性积水</t>
    </r>
  </si>
  <si>
    <r>
      <t>4.</t>
    </r>
    <r>
      <rPr>
        <sz val="12"/>
        <color rgb="FF000000"/>
        <rFont val="宋体"/>
        <charset val="134"/>
      </rPr>
      <t>三亚市森海路、南丁岭路市政道路工程项目工人生活区周边发现阳性积水</t>
    </r>
  </si>
  <si>
    <r>
      <t>5.</t>
    </r>
    <r>
      <rPr>
        <sz val="12"/>
        <color rgb="FF000000"/>
        <rFont val="宋体"/>
        <charset val="134"/>
      </rPr>
      <t>三亚市森海路、南丁岭路市政道路工程项目工人生活区防蚊措施落实不到位</t>
    </r>
  </si>
  <si>
    <r>
      <t>6.</t>
    </r>
    <r>
      <rPr>
        <sz val="12"/>
        <color rgb="FF000000"/>
        <rFont val="宋体"/>
        <charset val="134"/>
      </rPr>
      <t>三亚市森海路、南丁岭路市政道路工程项目人员进退场登记台账不完善，缺少人员进场具体时间、退场销号时间</t>
    </r>
  </si>
  <si>
    <r>
      <t>7.</t>
    </r>
    <r>
      <rPr>
        <sz val="12"/>
        <color rgb="FF000000"/>
        <rFont val="宋体"/>
        <charset val="134"/>
      </rPr>
      <t>三亚市森海路、南丁岭路市政道路工程项目消杀施工记录表不规范（无使用药剂、药剂浓度配比、用药总量、消杀作业内容、作业面积等）</t>
    </r>
  </si>
  <si>
    <r>
      <rPr>
        <sz val="12"/>
        <color rgb="FF000000"/>
        <rFont val="宋体"/>
        <charset val="134"/>
      </rPr>
      <t>十二、三亚市吉阳区落笔和美乡村茂月中路风貌提升工程</t>
    </r>
  </si>
  <si>
    <r>
      <t>1.</t>
    </r>
    <r>
      <rPr>
        <sz val="12"/>
        <color rgb="FF000000"/>
        <rFont val="宋体"/>
        <charset val="134"/>
      </rPr>
      <t>三亚市吉阳区落笔和美乡村茂月中路风貌提升工程消杀施工记录表不规范（无使用药剂、药剂浓度配比、用药总量、消杀作业内容、作业面积等）</t>
    </r>
  </si>
  <si>
    <r>
      <rPr>
        <sz val="12"/>
        <color rgb="FF000000"/>
        <rFont val="宋体"/>
        <charset val="134"/>
      </rPr>
      <t>十三、三亚市吉阳区罗蓬小学改造提升工程项目</t>
    </r>
  </si>
  <si>
    <r>
      <t>1.</t>
    </r>
    <r>
      <rPr>
        <sz val="12"/>
        <color rgb="FF000000"/>
        <rFont val="宋体"/>
        <charset val="134"/>
      </rPr>
      <t>三亚市吉阳区罗蓬小学改造提升工程项目工人生活区防蚊措施落实不到位</t>
    </r>
  </si>
  <si>
    <r>
      <rPr>
        <sz val="12"/>
        <color rgb="FF000000"/>
        <rFont val="宋体"/>
        <charset val="134"/>
      </rPr>
      <t>十四、吉阳区红花和美乡村基础设施提升项目</t>
    </r>
  </si>
  <si>
    <r>
      <t>1.</t>
    </r>
    <r>
      <rPr>
        <sz val="12"/>
        <color rgb="FF000000"/>
        <rFont val="宋体"/>
        <charset val="134"/>
      </rPr>
      <t>吉阳区红花和美乡村基础设施提升项目消杀施工记录表不规范（无使用药剂、药剂浓度配比、用药总量、消杀作业内容、作业面积等）</t>
    </r>
  </si>
  <si>
    <r>
      <rPr>
        <sz val="12"/>
        <color rgb="FF000000"/>
        <rFont val="宋体"/>
        <charset val="134"/>
      </rPr>
      <t>十五、三亚温泉谷度假村及休闲养生中心项目二期度假酒店（</t>
    </r>
    <r>
      <rPr>
        <sz val="12"/>
        <color rgb="FF000000"/>
        <rFont val="Times New Roman"/>
        <charset val="134"/>
      </rPr>
      <t>CJSXY01-08</t>
    </r>
    <r>
      <rPr>
        <sz val="12"/>
        <color rgb="FF000000"/>
        <rFont val="宋体"/>
        <charset val="134"/>
      </rPr>
      <t>地块）二次装修工程</t>
    </r>
  </si>
  <si>
    <r>
      <t>1.</t>
    </r>
    <r>
      <rPr>
        <sz val="12"/>
        <color rgb="FF000000"/>
        <rFont val="宋体"/>
        <charset val="134"/>
      </rPr>
      <t>三亚温泉谷度假村及休闲养生中心项目二期度假酒店（</t>
    </r>
    <r>
      <rPr>
        <sz val="12"/>
        <color rgb="FF000000"/>
        <rFont val="Times New Roman"/>
        <charset val="134"/>
      </rPr>
      <t>CJSXY01-08</t>
    </r>
    <r>
      <rPr>
        <sz val="12"/>
        <color rgb="FF000000"/>
        <rFont val="宋体"/>
        <charset val="134"/>
      </rPr>
      <t>地块）二次装修工程工人生活区发现阳性积水</t>
    </r>
  </si>
  <si>
    <r>
      <t>2.</t>
    </r>
    <r>
      <rPr>
        <sz val="12"/>
        <color rgb="FF000000"/>
        <rFont val="宋体"/>
        <charset val="134"/>
      </rPr>
      <t>三亚温泉谷度假村及休闲养生中心项目二期度假酒店（</t>
    </r>
    <r>
      <rPr>
        <sz val="12"/>
        <color rgb="FF000000"/>
        <rFont val="Times New Roman"/>
        <charset val="134"/>
      </rPr>
      <t>CJSXY01-08</t>
    </r>
    <r>
      <rPr>
        <sz val="12"/>
        <color rgb="FF000000"/>
        <rFont val="宋体"/>
        <charset val="134"/>
      </rPr>
      <t>地块）二次装修工程工人生活区发现阳性积水</t>
    </r>
  </si>
  <si>
    <r>
      <t>3.</t>
    </r>
    <r>
      <rPr>
        <sz val="12"/>
        <color rgb="FF000000"/>
        <rFont val="宋体"/>
        <charset val="134"/>
      </rPr>
      <t>三亚温泉谷度假村及休闲养生中心项目二期度假酒店（</t>
    </r>
    <r>
      <rPr>
        <sz val="12"/>
        <color rgb="FF000000"/>
        <rFont val="Times New Roman"/>
        <charset val="134"/>
      </rPr>
      <t>CJSXY01-08</t>
    </r>
    <r>
      <rPr>
        <sz val="12"/>
        <color rgb="FF000000"/>
        <rFont val="宋体"/>
        <charset val="134"/>
      </rPr>
      <t>地块）二次装修工程工人生活区发现阳性积水</t>
    </r>
  </si>
  <si>
    <r>
      <t>4.</t>
    </r>
    <r>
      <rPr>
        <sz val="12"/>
        <color rgb="FF000000"/>
        <rFont val="宋体"/>
        <charset val="134"/>
      </rPr>
      <t>三亚温泉谷度假村及休闲养生中心项目二期度假酒店（</t>
    </r>
    <r>
      <rPr>
        <sz val="12"/>
        <color rgb="FF000000"/>
        <rFont val="Times New Roman"/>
        <charset val="134"/>
      </rPr>
      <t>CJSXY01-08</t>
    </r>
    <r>
      <rPr>
        <sz val="12"/>
        <color rgb="FF000000"/>
        <rFont val="宋体"/>
        <charset val="134"/>
      </rPr>
      <t>地块）二次装修工程工人生活区发现阳性积水</t>
    </r>
  </si>
  <si>
    <r>
      <t>5.</t>
    </r>
    <r>
      <rPr>
        <sz val="12"/>
        <color rgb="FF000000"/>
        <rFont val="宋体"/>
        <charset val="134"/>
      </rPr>
      <t>三亚温泉谷度假村及休闲养生中心项目二期度假酒店（</t>
    </r>
    <r>
      <rPr>
        <sz val="12"/>
        <color rgb="FF000000"/>
        <rFont val="Times New Roman"/>
        <charset val="134"/>
      </rPr>
      <t>CJSXY01-08</t>
    </r>
    <r>
      <rPr>
        <sz val="12"/>
        <color rgb="FF000000"/>
        <rFont val="宋体"/>
        <charset val="134"/>
      </rPr>
      <t>地块）二次装修工程消杀施工记录表不规范（无使用药剂、药剂浓度配比、用药总量、消杀作业内容、作业面积等），未见人员进退场登记台账</t>
    </r>
  </si>
  <si>
    <r>
      <rPr>
        <sz val="12"/>
        <color rgb="FF000000"/>
        <rFont val="宋体"/>
        <charset val="134"/>
      </rPr>
      <t>十六、海南热带海洋学院三亚校区新建项目配套基础设施工程（二标段：道路网及蓄水池等室外工程）</t>
    </r>
  </si>
  <si>
    <r>
      <t>1.</t>
    </r>
    <r>
      <rPr>
        <sz val="12"/>
        <color rgb="FF000000"/>
        <rFont val="宋体"/>
        <charset val="134"/>
      </rPr>
      <t>海南热带海洋学院三亚校区新建项目配套基础设施工程（二标段）：道路网及蓄水池等室外工程）消杀施工记录表不规范（无使用药剂、药剂浓度配比、用药总量、消杀作业内容、作业面积等），未见人员进退场登记台账、病媒生物防控专项方案</t>
    </r>
  </si>
  <si>
    <r>
      <rPr>
        <sz val="12"/>
        <color rgb="FF000000"/>
        <rFont val="宋体"/>
        <charset val="134"/>
      </rPr>
      <t>十七、三亚市吉阳变电站</t>
    </r>
    <r>
      <rPr>
        <sz val="12"/>
        <color rgb="FF000000"/>
        <rFont val="Times New Roman"/>
        <charset val="134"/>
      </rPr>
      <t>-</t>
    </r>
    <r>
      <rPr>
        <sz val="12"/>
        <color rgb="FF000000"/>
        <rFont val="宋体"/>
        <charset val="134"/>
      </rPr>
      <t>科创产业园区电缆管沟建设工程项目</t>
    </r>
  </si>
  <si>
    <r>
      <t>1.</t>
    </r>
    <r>
      <rPr>
        <sz val="12"/>
        <color rgb="FF000000"/>
        <rFont val="宋体"/>
        <charset val="134"/>
      </rPr>
      <t>三亚市吉阳变电站</t>
    </r>
    <r>
      <rPr>
        <sz val="12"/>
        <color rgb="FF000000"/>
        <rFont val="Times New Roman"/>
        <charset val="134"/>
      </rPr>
      <t>-</t>
    </r>
    <r>
      <rPr>
        <sz val="12"/>
        <color rgb="FF000000"/>
        <rFont val="宋体"/>
        <charset val="134"/>
      </rPr>
      <t>科创产业园区电缆管沟建设工程项目项目部发现阳性积水</t>
    </r>
  </si>
  <si>
    <r>
      <t>2.</t>
    </r>
    <r>
      <rPr>
        <sz val="12"/>
        <color rgb="FF000000"/>
        <rFont val="宋体"/>
        <charset val="134"/>
      </rPr>
      <t>三亚市吉阳变电站</t>
    </r>
    <r>
      <rPr>
        <sz val="12"/>
        <color rgb="FF000000"/>
        <rFont val="Times New Roman"/>
        <charset val="134"/>
      </rPr>
      <t>-</t>
    </r>
    <r>
      <rPr>
        <sz val="12"/>
        <color rgb="FF000000"/>
        <rFont val="宋体"/>
        <charset val="134"/>
      </rPr>
      <t>科创产业园区电缆管沟建设工程项目消杀施工记录表不规范（无药剂浓度配比、用药总量、消杀作业内容、作业面积等）</t>
    </r>
  </si>
  <si>
    <r>
      <rPr>
        <sz val="12"/>
        <color rgb="FF000000"/>
        <rFont val="宋体"/>
        <charset val="134"/>
      </rPr>
      <t>十八、三亚市吉阳区博后和美乡村糖丰村风貌提升工程</t>
    </r>
  </si>
  <si>
    <r>
      <t>1.</t>
    </r>
    <r>
      <rPr>
        <sz val="12"/>
        <color rgb="FF000000"/>
        <rFont val="宋体"/>
        <charset val="134"/>
      </rPr>
      <t>三亚市吉阳区博后和美乡村糖丰村风貌提升工程消杀施工记录表不规范（无使用药剂、浓度配比、用药总量、作业面积等）</t>
    </r>
  </si>
  <si>
    <r>
      <t>2.</t>
    </r>
    <r>
      <rPr>
        <sz val="12"/>
        <color rgb="FF000000"/>
        <rFont val="宋体"/>
        <charset val="134"/>
      </rPr>
      <t>三亚市吉阳区博后和美乡村糖丰村风貌提升工程人员进退场登记台账不完善，缺少人员进场具体时间、退场销号时间</t>
    </r>
  </si>
  <si>
    <r>
      <rPr>
        <sz val="12"/>
        <color rgb="FF000000"/>
        <rFont val="宋体"/>
        <charset val="134"/>
      </rPr>
      <t>十九、大华</t>
    </r>
    <r>
      <rPr>
        <sz val="12"/>
        <color rgb="FF000000"/>
        <rFont val="Times New Roman"/>
        <charset val="134"/>
      </rPr>
      <t>·</t>
    </r>
    <r>
      <rPr>
        <sz val="12"/>
        <color rgb="FF000000"/>
        <rFont val="宋体"/>
        <charset val="134"/>
      </rPr>
      <t>山海和鸣项目</t>
    </r>
  </si>
  <si>
    <r>
      <t>1.</t>
    </r>
    <r>
      <rPr>
        <sz val="12"/>
        <color rgb="FF000000"/>
        <rFont val="宋体"/>
        <charset val="134"/>
      </rPr>
      <t>大华</t>
    </r>
    <r>
      <rPr>
        <sz val="12"/>
        <color rgb="FF000000"/>
        <rFont val="Times New Roman"/>
        <charset val="134"/>
      </rPr>
      <t>·</t>
    </r>
    <r>
      <rPr>
        <sz val="12"/>
        <color rgb="FF000000"/>
        <rFont val="宋体"/>
        <charset val="134"/>
      </rPr>
      <t>山海和鸣消杀记录表不规范（无作业面积）</t>
    </r>
  </si>
  <si>
    <r>
      <t>2.</t>
    </r>
    <r>
      <rPr>
        <sz val="12"/>
        <color rgb="FF000000"/>
        <rFont val="宋体"/>
        <charset val="134"/>
      </rPr>
      <t>大华</t>
    </r>
    <r>
      <rPr>
        <sz val="12"/>
        <color rgb="FF000000"/>
        <rFont val="Times New Roman"/>
        <charset val="134"/>
      </rPr>
      <t>·</t>
    </r>
    <r>
      <rPr>
        <sz val="12"/>
        <color rgb="FF000000"/>
        <rFont val="宋体"/>
        <charset val="134"/>
      </rPr>
      <t>山海和鸣施工现场门口水桶发现阳性积水</t>
    </r>
  </si>
  <si>
    <r>
      <t>3.</t>
    </r>
    <r>
      <rPr>
        <sz val="12"/>
        <color rgb="FF000000"/>
        <rFont val="宋体"/>
        <charset val="134"/>
      </rPr>
      <t>大华</t>
    </r>
    <r>
      <rPr>
        <sz val="12"/>
        <color rgb="FF000000"/>
        <rFont val="Times New Roman"/>
        <charset val="134"/>
      </rPr>
      <t>·</t>
    </r>
    <r>
      <rPr>
        <sz val="12"/>
        <color rgb="FF000000"/>
        <rFont val="宋体"/>
        <charset val="134"/>
      </rPr>
      <t>山海和鸣施工现场地下室集水井发现阳性积水</t>
    </r>
  </si>
  <si>
    <r>
      <rPr>
        <sz val="12"/>
        <color rgb="FF000000"/>
        <rFont val="宋体"/>
        <charset val="134"/>
      </rPr>
      <t>二十、三亚市龙岭北路市政工程</t>
    </r>
    <r>
      <rPr>
        <sz val="12"/>
        <color rgb="FF000000"/>
        <rFont val="Times New Roman"/>
        <charset val="134"/>
      </rPr>
      <t>(</t>
    </r>
    <r>
      <rPr>
        <sz val="12"/>
        <color rgb="FF000000"/>
        <rFont val="宋体"/>
        <charset val="134"/>
      </rPr>
      <t>红沙隧道入口至春光路连接段</t>
    </r>
    <r>
      <rPr>
        <sz val="12"/>
        <color rgb="FF000000"/>
        <rFont val="Times New Roman"/>
        <charset val="134"/>
      </rPr>
      <t>)</t>
    </r>
    <r>
      <rPr>
        <sz val="12"/>
        <color rgb="FF000000"/>
        <rFont val="宋体"/>
        <charset val="134"/>
      </rPr>
      <t>项目</t>
    </r>
  </si>
  <si>
    <r>
      <t>1.</t>
    </r>
    <r>
      <rPr>
        <sz val="12"/>
        <color rgb="FF000000"/>
        <rFont val="宋体"/>
        <charset val="134"/>
      </rPr>
      <t>三亚市龙岭北路市政工程</t>
    </r>
    <r>
      <rPr>
        <sz val="12"/>
        <color rgb="FF000000"/>
        <rFont val="Times New Roman"/>
        <charset val="134"/>
      </rPr>
      <t>(</t>
    </r>
    <r>
      <rPr>
        <sz val="12"/>
        <color rgb="FF000000"/>
        <rFont val="宋体"/>
        <charset val="134"/>
      </rPr>
      <t>红沙隧道入口至春光路连接段</t>
    </r>
    <r>
      <rPr>
        <sz val="12"/>
        <color rgb="FF000000"/>
        <rFont val="Times New Roman"/>
        <charset val="134"/>
      </rPr>
      <t>)</t>
    </r>
    <r>
      <rPr>
        <sz val="12"/>
        <color rgb="FF000000"/>
        <rFont val="宋体"/>
        <charset val="134"/>
      </rPr>
      <t>项目消杀记录表不规范（无药剂浓度配比、作业面积等）</t>
    </r>
  </si>
  <si>
    <r>
      <t>2.</t>
    </r>
    <r>
      <rPr>
        <sz val="12"/>
        <color rgb="FF000000"/>
        <rFont val="宋体"/>
        <charset val="134"/>
      </rPr>
      <t>三亚市龙岭北路市政工程</t>
    </r>
    <r>
      <rPr>
        <sz val="12"/>
        <color rgb="FF000000"/>
        <rFont val="Times New Roman"/>
        <charset val="134"/>
      </rPr>
      <t>(</t>
    </r>
    <r>
      <rPr>
        <sz val="12"/>
        <color rgb="FF000000"/>
        <rFont val="宋体"/>
        <charset val="134"/>
      </rPr>
      <t>红沙隧道入口至春光路连接段</t>
    </r>
    <r>
      <rPr>
        <sz val="12"/>
        <color rgb="FF000000"/>
        <rFont val="Times New Roman"/>
        <charset val="134"/>
      </rPr>
      <t>)</t>
    </r>
    <r>
      <rPr>
        <sz val="12"/>
        <color rgb="FF000000"/>
        <rFont val="宋体"/>
        <charset val="134"/>
      </rPr>
      <t>项目生活区宿舍未装蚊帐</t>
    </r>
  </si>
  <si>
    <r>
      <t>3.</t>
    </r>
    <r>
      <rPr>
        <sz val="12"/>
        <color rgb="FF000000"/>
        <rFont val="宋体"/>
        <charset val="134"/>
      </rPr>
      <t>三亚市龙岭北路市政工程</t>
    </r>
    <r>
      <rPr>
        <sz val="12"/>
        <color rgb="FF000000"/>
        <rFont val="Times New Roman"/>
        <charset val="134"/>
      </rPr>
      <t>(</t>
    </r>
    <r>
      <rPr>
        <sz val="12"/>
        <color rgb="FF000000"/>
        <rFont val="宋体"/>
        <charset val="134"/>
      </rPr>
      <t>红沙隧道入口至春光路连接段</t>
    </r>
    <r>
      <rPr>
        <sz val="12"/>
        <color rgb="FF000000"/>
        <rFont val="Times New Roman"/>
        <charset val="134"/>
      </rPr>
      <t>)</t>
    </r>
    <r>
      <rPr>
        <sz val="12"/>
        <color rgb="FF000000"/>
        <rFont val="宋体"/>
        <charset val="134"/>
      </rPr>
      <t>项目生活区水桶发现阳性积水</t>
    </r>
  </si>
  <si>
    <r>
      <rPr>
        <sz val="12"/>
        <color rgb="FF000000"/>
        <rFont val="宋体"/>
        <charset val="134"/>
      </rPr>
      <t>二十一、三亚市中医院改扩建项目（二期）</t>
    </r>
  </si>
  <si>
    <r>
      <t>1.</t>
    </r>
    <r>
      <rPr>
        <sz val="12"/>
        <color rgb="FF000000"/>
        <rFont val="宋体"/>
        <charset val="134"/>
      </rPr>
      <t>三亚市中医院改扩建项目（二期）生活区废弃箱内发现阳性积水</t>
    </r>
  </si>
  <si>
    <r>
      <t>2.</t>
    </r>
    <r>
      <rPr>
        <sz val="12"/>
        <color rgb="FF000000"/>
        <rFont val="宋体"/>
        <charset val="134"/>
      </rPr>
      <t>三亚市中医院改扩建项目（二期）无消杀记录表</t>
    </r>
  </si>
  <si>
    <r>
      <rPr>
        <sz val="12"/>
        <color rgb="FF000000"/>
        <rFont val="宋体"/>
        <charset val="134"/>
      </rPr>
      <t>二十二、三亚临春片区</t>
    </r>
    <r>
      <rPr>
        <sz val="12"/>
        <color rgb="FF000000"/>
        <rFont val="Times New Roman"/>
        <charset val="134"/>
      </rPr>
      <t>C-03</t>
    </r>
    <r>
      <rPr>
        <sz val="12"/>
        <color rgb="FF000000"/>
        <rFont val="宋体"/>
        <charset val="134"/>
      </rPr>
      <t>地块项目</t>
    </r>
  </si>
  <si>
    <r>
      <t>1.</t>
    </r>
    <r>
      <rPr>
        <sz val="12"/>
        <color rgb="FF000000"/>
        <rFont val="宋体"/>
        <charset val="134"/>
      </rPr>
      <t>三亚临春片区</t>
    </r>
    <r>
      <rPr>
        <sz val="12"/>
        <color rgb="FF000000"/>
        <rFont val="Times New Roman"/>
        <charset val="134"/>
      </rPr>
      <t>C-03</t>
    </r>
    <r>
      <rPr>
        <sz val="12"/>
        <color rgb="FF000000"/>
        <rFont val="宋体"/>
        <charset val="134"/>
      </rPr>
      <t>地块项目消杀记录表不规范（无药剂浓度配比、用药总量、作业面积等）</t>
    </r>
  </si>
  <si>
    <r>
      <t>2.</t>
    </r>
    <r>
      <rPr>
        <sz val="12"/>
        <color rgb="FF000000"/>
        <rFont val="宋体"/>
        <charset val="134"/>
      </rPr>
      <t>三亚临春片区</t>
    </r>
    <r>
      <rPr>
        <sz val="12"/>
        <color rgb="FF000000"/>
        <rFont val="Times New Roman"/>
        <charset val="134"/>
      </rPr>
      <t>C-03</t>
    </r>
    <r>
      <rPr>
        <sz val="12"/>
        <color rgb="FF000000"/>
        <rFont val="宋体"/>
        <charset val="134"/>
      </rPr>
      <t>地块项目生活区宿舍未装蚊帐</t>
    </r>
  </si>
  <si>
    <r>
      <t>3.</t>
    </r>
    <r>
      <rPr>
        <sz val="12"/>
        <color rgb="FF000000"/>
        <rFont val="宋体"/>
        <charset val="134"/>
      </rPr>
      <t>三亚临春片区</t>
    </r>
    <r>
      <rPr>
        <sz val="12"/>
        <color rgb="FF000000"/>
        <rFont val="Times New Roman"/>
        <charset val="134"/>
      </rPr>
      <t>C-03</t>
    </r>
    <r>
      <rPr>
        <sz val="12"/>
        <color rgb="FF000000"/>
        <rFont val="宋体"/>
        <charset val="134"/>
      </rPr>
      <t>地块项目地下室仓库发现阳性积水</t>
    </r>
  </si>
  <si>
    <r>
      <rPr>
        <sz val="12"/>
        <color rgb="FF000000"/>
        <rFont val="宋体"/>
        <charset val="134"/>
      </rPr>
      <t>二十三、三亚临春片区城市更新项目</t>
    </r>
    <r>
      <rPr>
        <sz val="12"/>
        <color rgb="FF000000"/>
        <rFont val="Times New Roman"/>
        <charset val="134"/>
      </rPr>
      <t>D-07</t>
    </r>
    <r>
      <rPr>
        <sz val="12"/>
        <color rgb="FF000000"/>
        <rFont val="宋体"/>
        <charset val="134"/>
      </rPr>
      <t>地块</t>
    </r>
  </si>
  <si>
    <r>
      <t>1.</t>
    </r>
    <r>
      <rPr>
        <sz val="12"/>
        <color rgb="FF000000"/>
        <rFont val="宋体"/>
        <charset val="134"/>
      </rPr>
      <t>三亚临春片区城市更新项目</t>
    </r>
    <r>
      <rPr>
        <sz val="12"/>
        <color rgb="FF000000"/>
        <rFont val="Times New Roman"/>
        <charset val="134"/>
      </rPr>
      <t>D-07</t>
    </r>
    <r>
      <rPr>
        <sz val="12"/>
        <color rgb="FF000000"/>
        <rFont val="宋体"/>
        <charset val="134"/>
      </rPr>
      <t>地块消杀记录表不规范（无药剂浓度配比）</t>
    </r>
  </si>
  <si>
    <r>
      <t>2.</t>
    </r>
    <r>
      <rPr>
        <sz val="12"/>
        <color rgb="FF000000"/>
        <rFont val="宋体"/>
        <charset val="134"/>
      </rPr>
      <t>三亚临春片区城市更新项目</t>
    </r>
    <r>
      <rPr>
        <sz val="12"/>
        <color rgb="FF000000"/>
        <rFont val="Times New Roman"/>
        <charset val="134"/>
      </rPr>
      <t>D-07</t>
    </r>
    <r>
      <rPr>
        <sz val="12"/>
        <color rgb="FF000000"/>
        <rFont val="宋体"/>
        <charset val="134"/>
      </rPr>
      <t>地块生活区宿舍未装蚊帐</t>
    </r>
  </si>
  <si>
    <r>
      <t>3.</t>
    </r>
    <r>
      <rPr>
        <sz val="12"/>
        <color rgb="FF000000"/>
        <rFont val="宋体"/>
        <charset val="134"/>
      </rPr>
      <t>三亚临春片区城市更新项目</t>
    </r>
    <r>
      <rPr>
        <sz val="12"/>
        <color rgb="FF000000"/>
        <rFont val="Times New Roman"/>
        <charset val="134"/>
      </rPr>
      <t>D-07</t>
    </r>
    <r>
      <rPr>
        <sz val="12"/>
        <color rgb="FF000000"/>
        <rFont val="宋体"/>
        <charset val="134"/>
      </rPr>
      <t>地块地下室集水井发现阳性积水</t>
    </r>
  </si>
  <si>
    <r>
      <rPr>
        <sz val="12"/>
        <color rgb="FF000000"/>
        <rFont val="宋体"/>
        <charset val="134"/>
      </rPr>
      <t>二十四、三亚市公安局业务技术用房项目业务技术服务楼</t>
    </r>
  </si>
  <si>
    <r>
      <t>1.</t>
    </r>
    <r>
      <rPr>
        <sz val="12"/>
        <color rgb="FF000000"/>
        <rFont val="宋体"/>
        <charset val="134"/>
      </rPr>
      <t>三亚市公安局业务技术用房项目业务技术服务楼电箱后方发现阳性积水</t>
    </r>
  </si>
  <si>
    <r>
      <t>2.</t>
    </r>
    <r>
      <rPr>
        <sz val="12"/>
        <color rgb="FF000000"/>
        <rFont val="宋体"/>
        <charset val="134"/>
      </rPr>
      <t>三亚市公安局业务技术用房项目业务技术服务楼地下室集水井发现阳性积水</t>
    </r>
  </si>
  <si>
    <r>
      <rPr>
        <sz val="12"/>
        <color rgb="FF000000"/>
        <rFont val="宋体"/>
        <charset val="134"/>
      </rPr>
      <t>二十五、三亚市荔枝沟出口路工程</t>
    </r>
  </si>
  <si>
    <r>
      <t>1.</t>
    </r>
    <r>
      <rPr>
        <sz val="12"/>
        <color rgb="FF000000"/>
        <rFont val="宋体"/>
        <charset val="134"/>
      </rPr>
      <t>三亚市荔枝沟出口路工程消杀记录表不规范（无使用药剂、药剂浓度配比、用药总量、作业面积等）</t>
    </r>
  </si>
  <si>
    <r>
      <t>2.</t>
    </r>
    <r>
      <rPr>
        <sz val="12"/>
        <color rgb="FF000000"/>
        <rFont val="宋体"/>
        <charset val="134"/>
      </rPr>
      <t>三亚市荔枝沟出口路工程生活区盆栽发现阳性积水</t>
    </r>
  </si>
  <si>
    <r>
      <t>3.</t>
    </r>
    <r>
      <rPr>
        <sz val="12"/>
        <color rgb="FF000000"/>
        <rFont val="宋体"/>
        <charset val="134"/>
      </rPr>
      <t>三亚市荔枝沟出口路工程生活区宠物笼发现阳性积水</t>
    </r>
  </si>
  <si>
    <r>
      <rPr>
        <sz val="12"/>
        <color rgb="FF000000"/>
        <rFont val="宋体"/>
        <charset val="134"/>
      </rPr>
      <t>二十六、三亚</t>
    </r>
    <r>
      <rPr>
        <sz val="12"/>
        <color rgb="FF000000"/>
        <rFont val="Times New Roman"/>
        <charset val="134"/>
      </rPr>
      <t>·</t>
    </r>
    <r>
      <rPr>
        <sz val="12"/>
        <color rgb="FF000000"/>
        <rFont val="宋体"/>
        <charset val="134"/>
      </rPr>
      <t>一山湖项目（二期）</t>
    </r>
  </si>
  <si>
    <r>
      <t>1.</t>
    </r>
    <r>
      <rPr>
        <sz val="12"/>
        <color rgb="FF000000"/>
        <rFont val="宋体"/>
        <charset val="134"/>
      </rPr>
      <t>三亚</t>
    </r>
    <r>
      <rPr>
        <sz val="12"/>
        <color rgb="FF000000"/>
        <rFont val="Times New Roman"/>
        <charset val="134"/>
      </rPr>
      <t>·</t>
    </r>
    <r>
      <rPr>
        <sz val="12"/>
        <color rgb="FF000000"/>
        <rFont val="宋体"/>
        <charset val="134"/>
      </rPr>
      <t>一山湖项目（二期）围挡边发现阳性积水</t>
    </r>
  </si>
  <si>
    <r>
      <t>2.</t>
    </r>
    <r>
      <rPr>
        <sz val="12"/>
        <color rgb="FF000000"/>
        <rFont val="宋体"/>
        <charset val="134"/>
      </rPr>
      <t>三亚</t>
    </r>
    <r>
      <rPr>
        <sz val="12"/>
        <color rgb="FF000000"/>
        <rFont val="Times New Roman"/>
        <charset val="134"/>
      </rPr>
      <t>·</t>
    </r>
    <r>
      <rPr>
        <sz val="12"/>
        <color rgb="FF000000"/>
        <rFont val="宋体"/>
        <charset val="134"/>
      </rPr>
      <t>一山湖项目（二期）遮雨布发现阳性积水</t>
    </r>
  </si>
  <si>
    <r>
      <t>3.</t>
    </r>
    <r>
      <rPr>
        <sz val="12"/>
        <color rgb="FF000000"/>
        <rFont val="宋体"/>
        <charset val="134"/>
      </rPr>
      <t>三亚</t>
    </r>
    <r>
      <rPr>
        <sz val="12"/>
        <color rgb="FF000000"/>
        <rFont val="Times New Roman"/>
        <charset val="134"/>
      </rPr>
      <t>·</t>
    </r>
    <r>
      <rPr>
        <sz val="12"/>
        <color rgb="FF000000"/>
        <rFont val="宋体"/>
        <charset val="134"/>
      </rPr>
      <t>一山湖项目（二期）地下室入口排水沟发现阳性积水</t>
    </r>
  </si>
  <si>
    <r>
      <t>4.</t>
    </r>
    <r>
      <rPr>
        <sz val="12"/>
        <color rgb="FF000000"/>
        <rFont val="宋体"/>
        <charset val="134"/>
      </rPr>
      <t>三亚</t>
    </r>
    <r>
      <rPr>
        <sz val="12"/>
        <color rgb="FF000000"/>
        <rFont val="Times New Roman"/>
        <charset val="134"/>
      </rPr>
      <t>·</t>
    </r>
    <r>
      <rPr>
        <sz val="12"/>
        <color rgb="FF000000"/>
        <rFont val="宋体"/>
        <charset val="134"/>
      </rPr>
      <t>一山湖项目（二期）地下室集水井旁发现阳性积水</t>
    </r>
  </si>
  <si>
    <r>
      <t>5.</t>
    </r>
    <r>
      <rPr>
        <sz val="12"/>
        <color rgb="FF000000"/>
        <rFont val="宋体"/>
        <charset val="134"/>
      </rPr>
      <t>三亚</t>
    </r>
    <r>
      <rPr>
        <sz val="12"/>
        <color rgb="FF000000"/>
        <rFont val="Times New Roman"/>
        <charset val="134"/>
      </rPr>
      <t>·</t>
    </r>
    <r>
      <rPr>
        <sz val="12"/>
        <color rgb="FF000000"/>
        <rFont val="宋体"/>
        <charset val="134"/>
      </rPr>
      <t>一山湖项目（二期）消杀记录表不完善（无药品使用量、消杀面积等）</t>
    </r>
  </si>
  <si>
    <r>
      <rPr>
        <sz val="12"/>
        <color rgb="FF000000"/>
        <rFont val="宋体"/>
        <charset val="134"/>
      </rPr>
      <t>二十七、三亚迎宾路中央商务区</t>
    </r>
    <r>
      <rPr>
        <sz val="12"/>
        <color rgb="FF000000"/>
        <rFont val="Times New Roman"/>
        <charset val="134"/>
      </rPr>
      <t>DA02-19-02</t>
    </r>
    <r>
      <rPr>
        <sz val="12"/>
        <color rgb="FF000000"/>
        <rFont val="宋体"/>
        <charset val="134"/>
      </rPr>
      <t>地块项目</t>
    </r>
  </si>
  <si>
    <r>
      <t>1.</t>
    </r>
    <r>
      <rPr>
        <sz val="12"/>
        <color rgb="FF000000"/>
        <rFont val="宋体"/>
        <charset val="134"/>
      </rPr>
      <t>三亚迎宾路中央商务区</t>
    </r>
    <r>
      <rPr>
        <sz val="12"/>
        <color rgb="FF000000"/>
        <rFont val="Times New Roman"/>
        <charset val="134"/>
      </rPr>
      <t>DA02-19-02</t>
    </r>
    <r>
      <rPr>
        <sz val="12"/>
        <color rgb="FF000000"/>
        <rFont val="宋体"/>
        <charset val="134"/>
      </rPr>
      <t>地块项目消杀记录表不完善（无药品使用量、配比浓度、消杀面积等）</t>
    </r>
  </si>
  <si>
    <r>
      <t>2.</t>
    </r>
    <r>
      <rPr>
        <sz val="12"/>
        <color rgb="FF000000"/>
        <rFont val="宋体"/>
        <charset val="134"/>
      </rPr>
      <t>三亚迎宾路中央商务区</t>
    </r>
    <r>
      <rPr>
        <sz val="12"/>
        <color rgb="FF000000"/>
        <rFont val="Times New Roman"/>
        <charset val="134"/>
      </rPr>
      <t>DA02-19-02</t>
    </r>
    <r>
      <rPr>
        <sz val="12"/>
        <color rgb="FF000000"/>
        <rFont val="宋体"/>
        <charset val="134"/>
      </rPr>
      <t>地块项目宿舍区未装蚊帐</t>
    </r>
  </si>
  <si>
    <r>
      <t>3.</t>
    </r>
    <r>
      <rPr>
        <sz val="12"/>
        <color rgb="FF000000"/>
        <rFont val="宋体"/>
        <charset val="134"/>
      </rPr>
      <t>三亚迎宾路中央商务区</t>
    </r>
    <r>
      <rPr>
        <sz val="12"/>
        <color rgb="FF000000"/>
        <rFont val="Times New Roman"/>
        <charset val="134"/>
      </rPr>
      <t>DA02-19-02</t>
    </r>
    <r>
      <rPr>
        <sz val="12"/>
        <color rgb="FF000000"/>
        <rFont val="宋体"/>
        <charset val="134"/>
      </rPr>
      <t>地块项目管道发现阳性积水</t>
    </r>
  </si>
  <si>
    <r>
      <t>4.</t>
    </r>
    <r>
      <rPr>
        <sz val="12"/>
        <color rgb="FF000000"/>
        <rFont val="宋体"/>
        <charset val="134"/>
      </rPr>
      <t>三亚迎宾路中央商务区</t>
    </r>
    <r>
      <rPr>
        <sz val="12"/>
        <color rgb="FF000000"/>
        <rFont val="Times New Roman"/>
        <charset val="134"/>
      </rPr>
      <t>DA02-19-02</t>
    </r>
    <r>
      <rPr>
        <sz val="12"/>
        <color rgb="FF000000"/>
        <rFont val="宋体"/>
        <charset val="134"/>
      </rPr>
      <t>地块项目地下室仓库发现阳性积水</t>
    </r>
  </si>
  <si>
    <r>
      <t>5.</t>
    </r>
    <r>
      <rPr>
        <sz val="12"/>
        <color rgb="FF000000"/>
        <rFont val="宋体"/>
        <charset val="134"/>
      </rPr>
      <t>三亚迎宾路中央商务区</t>
    </r>
    <r>
      <rPr>
        <sz val="12"/>
        <color rgb="FF000000"/>
        <rFont val="Times New Roman"/>
        <charset val="134"/>
      </rPr>
      <t>DA02-19-02</t>
    </r>
    <r>
      <rPr>
        <sz val="12"/>
        <color rgb="FF000000"/>
        <rFont val="宋体"/>
        <charset val="134"/>
      </rPr>
      <t>地块项目地下室发现阳性积水</t>
    </r>
  </si>
  <si>
    <r>
      <rPr>
        <sz val="12"/>
        <color rgb="FF000000"/>
        <rFont val="宋体"/>
        <charset val="134"/>
      </rPr>
      <t>二十八、海南乐膳内装修工程</t>
    </r>
  </si>
  <si>
    <r>
      <t>1.</t>
    </r>
    <r>
      <rPr>
        <sz val="12"/>
        <color rgb="FF000000"/>
        <rFont val="宋体"/>
        <charset val="134"/>
      </rPr>
      <t>海南乐膳内装修工程无防控方案、无消杀台账、无工人底数等资料</t>
    </r>
  </si>
  <si>
    <r>
      <rPr>
        <sz val="12"/>
        <color rgb="FF000000"/>
        <rFont val="宋体"/>
        <charset val="134"/>
      </rPr>
      <t>二十九、三亚中央商务区东岸单元控规</t>
    </r>
    <r>
      <rPr>
        <sz val="12"/>
        <color rgb="FF000000"/>
        <rFont val="Times New Roman"/>
        <charset val="134"/>
      </rPr>
      <t>DA02-17-01</t>
    </r>
    <r>
      <rPr>
        <sz val="12"/>
        <color rgb="FF000000"/>
        <rFont val="宋体"/>
        <charset val="134"/>
      </rPr>
      <t>地块项目</t>
    </r>
  </si>
  <si>
    <r>
      <t>1.</t>
    </r>
    <r>
      <rPr>
        <sz val="12"/>
        <color rgb="FF000000"/>
        <rFont val="宋体"/>
        <charset val="134"/>
      </rPr>
      <t>三亚中央商务区东岸单元控规</t>
    </r>
    <r>
      <rPr>
        <sz val="12"/>
        <color rgb="FF000000"/>
        <rFont val="Times New Roman"/>
        <charset val="134"/>
      </rPr>
      <t>DA02-17-01</t>
    </r>
    <r>
      <rPr>
        <sz val="12"/>
        <color rgb="FF000000"/>
        <rFont val="宋体"/>
        <charset val="134"/>
      </rPr>
      <t>地块项目地下室发现阳性积水</t>
    </r>
  </si>
  <si>
    <r>
      <rPr>
        <sz val="12"/>
        <color rgb="FF000000"/>
        <rFont val="宋体"/>
        <charset val="134"/>
      </rPr>
      <t>三十、三亚中央商务区东岸单元</t>
    </r>
    <r>
      <rPr>
        <sz val="12"/>
        <color rgb="FF000000"/>
        <rFont val="Times New Roman"/>
        <charset val="134"/>
      </rPr>
      <t>DA02-29-05AB</t>
    </r>
    <r>
      <rPr>
        <sz val="12"/>
        <color rgb="FF000000"/>
        <rFont val="宋体"/>
        <charset val="134"/>
      </rPr>
      <t>地块项目</t>
    </r>
  </si>
  <si>
    <r>
      <t>1.</t>
    </r>
    <r>
      <rPr>
        <sz val="12"/>
        <color rgb="FF000000"/>
        <rFont val="宋体"/>
        <charset val="134"/>
      </rPr>
      <t>三亚中央商务区东岸单元</t>
    </r>
    <r>
      <rPr>
        <sz val="12"/>
        <color rgb="FF000000"/>
        <rFont val="Times New Roman"/>
        <charset val="134"/>
      </rPr>
      <t>DA02-29-05AB</t>
    </r>
    <r>
      <rPr>
        <sz val="12"/>
        <color rgb="FF000000"/>
        <rFont val="宋体"/>
        <charset val="134"/>
      </rPr>
      <t>地块项目围挡边水桶发现阳性积水</t>
    </r>
  </si>
  <si>
    <r>
      <t>2.</t>
    </r>
    <r>
      <rPr>
        <sz val="12"/>
        <color rgb="FF000000"/>
        <rFont val="宋体"/>
        <charset val="134"/>
      </rPr>
      <t>三亚中央商务区东岸单元</t>
    </r>
    <r>
      <rPr>
        <sz val="12"/>
        <color rgb="FF000000"/>
        <rFont val="Times New Roman"/>
        <charset val="134"/>
      </rPr>
      <t>DA02-29-05AB</t>
    </r>
    <r>
      <rPr>
        <sz val="12"/>
        <color rgb="FF000000"/>
        <rFont val="宋体"/>
        <charset val="134"/>
      </rPr>
      <t>地块项目一楼发现阳性积水</t>
    </r>
  </si>
  <si>
    <r>
      <t>3.</t>
    </r>
    <r>
      <rPr>
        <sz val="12"/>
        <color rgb="FF000000"/>
        <rFont val="宋体"/>
        <charset val="134"/>
      </rPr>
      <t>三亚中央商务区东岸单元</t>
    </r>
    <r>
      <rPr>
        <sz val="12"/>
        <color rgb="FF000000"/>
        <rFont val="Times New Roman"/>
        <charset val="134"/>
      </rPr>
      <t>DA02-29-05AB</t>
    </r>
    <r>
      <rPr>
        <sz val="12"/>
        <color rgb="FF000000"/>
        <rFont val="宋体"/>
        <charset val="134"/>
      </rPr>
      <t>地块项目消杀记录表不完善（无浓度配比、消杀面积等）</t>
    </r>
  </si>
  <si>
    <r>
      <rPr>
        <sz val="12"/>
        <color rgb="FF000000"/>
        <rFont val="宋体"/>
        <charset val="134"/>
      </rPr>
      <t>三十一、金冠亚沙村项目（东区）</t>
    </r>
    <r>
      <rPr>
        <sz val="12"/>
        <color rgb="FF000000"/>
        <rFont val="Times New Roman"/>
        <charset val="134"/>
      </rPr>
      <t>BP08-27-1</t>
    </r>
    <r>
      <rPr>
        <sz val="12"/>
        <color rgb="FF000000"/>
        <rFont val="宋体"/>
        <charset val="134"/>
      </rPr>
      <t>地块</t>
    </r>
  </si>
  <si>
    <r>
      <t>1.</t>
    </r>
    <r>
      <rPr>
        <sz val="12"/>
        <color rgb="FF000000"/>
        <rFont val="宋体"/>
        <charset val="134"/>
      </rPr>
      <t>金冠亚沙村项目（东区）</t>
    </r>
    <r>
      <rPr>
        <sz val="12"/>
        <color rgb="FF000000"/>
        <rFont val="Times New Roman"/>
        <charset val="134"/>
      </rPr>
      <t>BP08-27-1</t>
    </r>
    <r>
      <rPr>
        <sz val="12"/>
        <color rgb="FF000000"/>
        <rFont val="宋体"/>
        <charset val="134"/>
      </rPr>
      <t>地块消杀记录表不完善（无药品用量、浓度配比、消杀面积等）</t>
    </r>
  </si>
  <si>
    <r>
      <t>2.</t>
    </r>
    <r>
      <rPr>
        <sz val="12"/>
        <color rgb="FF000000"/>
        <rFont val="宋体"/>
        <charset val="134"/>
      </rPr>
      <t>金冠亚沙村项目（东区）</t>
    </r>
    <r>
      <rPr>
        <sz val="12"/>
        <color rgb="FF000000"/>
        <rFont val="Times New Roman"/>
        <charset val="134"/>
      </rPr>
      <t>BP08-27-1</t>
    </r>
    <r>
      <rPr>
        <sz val="12"/>
        <color rgb="FF000000"/>
        <rFont val="宋体"/>
        <charset val="134"/>
      </rPr>
      <t>地块水桶发现阳性积水</t>
    </r>
  </si>
  <si>
    <r>
      <t>3.</t>
    </r>
    <r>
      <rPr>
        <sz val="12"/>
        <color rgb="FF000000"/>
        <rFont val="宋体"/>
        <charset val="134"/>
      </rPr>
      <t>金冠亚沙村项目（东区）</t>
    </r>
    <r>
      <rPr>
        <sz val="12"/>
        <color rgb="FF000000"/>
        <rFont val="Times New Roman"/>
        <charset val="134"/>
      </rPr>
      <t>BP08-27-1</t>
    </r>
    <r>
      <rPr>
        <sz val="12"/>
        <color rgb="FF000000"/>
        <rFont val="宋体"/>
        <charset val="134"/>
      </rPr>
      <t>地块地下室发现阳性积水</t>
    </r>
  </si>
  <si>
    <r>
      <t>4.</t>
    </r>
    <r>
      <rPr>
        <sz val="12"/>
        <color rgb="FF000000"/>
        <rFont val="宋体"/>
        <charset val="134"/>
      </rPr>
      <t>金冠亚沙村项目（东区）</t>
    </r>
    <r>
      <rPr>
        <sz val="12"/>
        <color rgb="FF000000"/>
        <rFont val="Times New Roman"/>
        <charset val="134"/>
      </rPr>
      <t>BP08-27-1</t>
    </r>
    <r>
      <rPr>
        <sz val="12"/>
        <color rgb="FF000000"/>
        <rFont val="宋体"/>
        <charset val="134"/>
      </rPr>
      <t>地块地下室墙边发现阳性积水</t>
    </r>
  </si>
  <si>
    <r>
      <rPr>
        <sz val="12"/>
        <color rgb="FF000000"/>
        <rFont val="宋体"/>
        <charset val="134"/>
      </rPr>
      <t>三十二、吉阳区高知园幼儿园室内装修及室外配套设施改造工程</t>
    </r>
  </si>
  <si>
    <r>
      <t>1.</t>
    </r>
    <r>
      <rPr>
        <sz val="12"/>
        <color rgb="FF000000"/>
        <rFont val="宋体"/>
        <charset val="134"/>
      </rPr>
      <t>吉阳区高知园幼儿园室内装修及室外配套设施改造工程无防控方案、消杀台账、工人底数等资料</t>
    </r>
  </si>
  <si>
    <r>
      <rPr>
        <sz val="12"/>
        <color rgb="FF000000"/>
        <rFont val="宋体"/>
        <charset val="134"/>
      </rPr>
      <t>三十三、海垦城建</t>
    </r>
    <r>
      <rPr>
        <sz val="12"/>
        <color rgb="FF000000"/>
        <rFont val="Times New Roman"/>
        <charset val="134"/>
      </rPr>
      <t>·</t>
    </r>
    <r>
      <rPr>
        <sz val="12"/>
        <color rgb="FF000000"/>
        <rFont val="宋体"/>
        <charset val="134"/>
      </rPr>
      <t>鹿城壹号</t>
    </r>
    <r>
      <rPr>
        <sz val="12"/>
        <color rgb="FF000000"/>
        <rFont val="Times New Roman"/>
        <charset val="134"/>
      </rPr>
      <t>BP01-05</t>
    </r>
    <r>
      <rPr>
        <sz val="12"/>
        <color rgb="FF000000"/>
        <rFont val="宋体"/>
        <charset val="134"/>
      </rPr>
      <t>地块</t>
    </r>
  </si>
  <si>
    <r>
      <t>1.</t>
    </r>
    <r>
      <rPr>
        <sz val="12"/>
        <color rgb="FF000000"/>
        <rFont val="宋体"/>
        <charset val="134"/>
      </rPr>
      <t>海垦城建</t>
    </r>
    <r>
      <rPr>
        <sz val="12"/>
        <color rgb="FF000000"/>
        <rFont val="Times New Roman"/>
        <charset val="134"/>
      </rPr>
      <t>·</t>
    </r>
    <r>
      <rPr>
        <sz val="12"/>
        <color rgb="FF000000"/>
        <rFont val="宋体"/>
        <charset val="134"/>
      </rPr>
      <t>鹿城壹号</t>
    </r>
    <r>
      <rPr>
        <sz val="12"/>
        <color rgb="FF000000"/>
        <rFont val="Times New Roman"/>
        <charset val="134"/>
      </rPr>
      <t>BP01-05</t>
    </r>
    <r>
      <rPr>
        <sz val="12"/>
        <color rgb="FF000000"/>
        <rFont val="宋体"/>
        <charset val="134"/>
      </rPr>
      <t>地块消杀记录表不完善（无浓度配比、消杀面积等）</t>
    </r>
  </si>
  <si>
    <r>
      <t>2.</t>
    </r>
    <r>
      <rPr>
        <sz val="12"/>
        <color rgb="FF000000"/>
        <rFont val="宋体"/>
        <charset val="134"/>
      </rPr>
      <t>海垦城建</t>
    </r>
    <r>
      <rPr>
        <sz val="12"/>
        <color rgb="FF000000"/>
        <rFont val="Times New Roman"/>
        <charset val="134"/>
      </rPr>
      <t>·</t>
    </r>
    <r>
      <rPr>
        <sz val="12"/>
        <color rgb="FF000000"/>
        <rFont val="宋体"/>
        <charset val="134"/>
      </rPr>
      <t>鹿城壹号</t>
    </r>
    <r>
      <rPr>
        <sz val="12"/>
        <color rgb="FF000000"/>
        <rFont val="Times New Roman"/>
        <charset val="134"/>
      </rPr>
      <t>BP01-05</t>
    </r>
    <r>
      <rPr>
        <sz val="12"/>
        <color rgb="FF000000"/>
        <rFont val="宋体"/>
        <charset val="134"/>
      </rPr>
      <t>地块生活区未装蚊帐</t>
    </r>
  </si>
  <si>
    <r>
      <t>3.</t>
    </r>
    <r>
      <rPr>
        <sz val="12"/>
        <color rgb="FF000000"/>
        <rFont val="宋体"/>
        <charset val="134"/>
      </rPr>
      <t>海垦城建</t>
    </r>
    <r>
      <rPr>
        <sz val="12"/>
        <color rgb="FF000000"/>
        <rFont val="Times New Roman"/>
        <charset val="134"/>
      </rPr>
      <t>·</t>
    </r>
    <r>
      <rPr>
        <sz val="12"/>
        <color rgb="FF000000"/>
        <rFont val="宋体"/>
        <charset val="134"/>
      </rPr>
      <t>鹿城壹号</t>
    </r>
    <r>
      <rPr>
        <sz val="12"/>
        <color rgb="FF000000"/>
        <rFont val="Times New Roman"/>
        <charset val="134"/>
      </rPr>
      <t>BP01-05</t>
    </r>
    <r>
      <rPr>
        <sz val="12"/>
        <color rgb="FF000000"/>
        <rFont val="宋体"/>
        <charset val="134"/>
      </rPr>
      <t>地块水桶发现阳性积水</t>
    </r>
  </si>
  <si>
    <r>
      <t>4.</t>
    </r>
    <r>
      <rPr>
        <sz val="12"/>
        <color rgb="FF000000"/>
        <rFont val="宋体"/>
        <charset val="134"/>
      </rPr>
      <t>海垦城建</t>
    </r>
    <r>
      <rPr>
        <sz val="12"/>
        <color rgb="FF000000"/>
        <rFont val="Times New Roman"/>
        <charset val="134"/>
      </rPr>
      <t>·</t>
    </r>
    <r>
      <rPr>
        <sz val="12"/>
        <color rgb="FF000000"/>
        <rFont val="宋体"/>
        <charset val="134"/>
      </rPr>
      <t>鹿城壹号</t>
    </r>
    <r>
      <rPr>
        <sz val="12"/>
        <color rgb="FF000000"/>
        <rFont val="Times New Roman"/>
        <charset val="134"/>
      </rPr>
      <t>BP01-05</t>
    </r>
    <r>
      <rPr>
        <sz val="12"/>
        <color rgb="FF000000"/>
        <rFont val="宋体"/>
        <charset val="134"/>
      </rPr>
      <t>地块地下室发现阳性积水</t>
    </r>
  </si>
  <si>
    <r>
      <rPr>
        <sz val="12"/>
        <color rgb="FF000000"/>
        <rFont val="宋体"/>
        <charset val="134"/>
      </rPr>
      <t>三十四、三亚市抱坡体育产业园岭前路西段快速通道工程</t>
    </r>
  </si>
  <si>
    <r>
      <t>1.</t>
    </r>
    <r>
      <rPr>
        <sz val="12"/>
        <color rgb="FF000000"/>
        <rFont val="宋体"/>
        <charset val="134"/>
      </rPr>
      <t>三亚市抱坡体育产业园岭前路西段快速通道工程消杀记录表不完善（无浓度配比、消杀面积等）</t>
    </r>
  </si>
  <si>
    <r>
      <rPr>
        <sz val="12"/>
        <color rgb="FF000000"/>
        <rFont val="宋体"/>
        <charset val="134"/>
      </rPr>
      <t>三十五、三亚生态建材产业园项目（一期）</t>
    </r>
  </si>
  <si>
    <r>
      <t>1.</t>
    </r>
    <r>
      <rPr>
        <sz val="12"/>
        <color rgb="FF000000"/>
        <rFont val="宋体"/>
        <charset val="134"/>
      </rPr>
      <t>三亚生态建材产业园项目（一期）生活区未装蚊帐</t>
    </r>
  </si>
  <si>
    <r>
      <t>2.</t>
    </r>
    <r>
      <rPr>
        <sz val="12"/>
        <color rgb="FF000000"/>
        <rFont val="宋体"/>
        <charset val="134"/>
      </rPr>
      <t>三亚生态建材产业园项目（一期）围挡边发现大量积水，易孳生蚊幼</t>
    </r>
  </si>
  <si>
    <r>
      <t>3.</t>
    </r>
    <r>
      <rPr>
        <sz val="12"/>
        <color rgb="FF000000"/>
        <rFont val="宋体"/>
        <charset val="134"/>
      </rPr>
      <t>三亚生态建材产业园项目（一期）围挡边发现阳性积水</t>
    </r>
  </si>
  <si>
    <r>
      <rPr>
        <sz val="12"/>
        <color rgb="FF000000"/>
        <rFont val="宋体"/>
        <charset val="134"/>
      </rPr>
      <t>三十六、三亚市清流园水质净化厂工程</t>
    </r>
  </si>
  <si>
    <r>
      <t>1.</t>
    </r>
    <r>
      <rPr>
        <sz val="12"/>
        <color rgb="FF000000"/>
        <rFont val="宋体"/>
        <charset val="134"/>
      </rPr>
      <t>三亚市清流园水质净化厂工程消杀记录表不完善（无浓度配比、消杀面积等）</t>
    </r>
  </si>
  <si>
    <r>
      <t>2.</t>
    </r>
    <r>
      <rPr>
        <sz val="12"/>
        <color rgb="FF000000"/>
        <rFont val="宋体"/>
        <charset val="134"/>
      </rPr>
      <t>三亚市清流园水质净化厂工程未装蚊帐</t>
    </r>
  </si>
  <si>
    <r>
      <t>3.</t>
    </r>
    <r>
      <rPr>
        <sz val="12"/>
        <color rgb="FF000000"/>
        <rFont val="宋体"/>
        <charset val="134"/>
      </rPr>
      <t>三亚市清流园水质净化厂工程围挡边发现阳性积水</t>
    </r>
  </si>
  <si>
    <r>
      <t>4.</t>
    </r>
    <r>
      <rPr>
        <sz val="12"/>
        <color rgb="FF000000"/>
        <rFont val="宋体"/>
        <charset val="134"/>
      </rPr>
      <t>三亚市清流园水质净化厂工程排水沟发现阳性积水</t>
    </r>
  </si>
  <si>
    <r>
      <t>5.</t>
    </r>
    <r>
      <rPr>
        <sz val="12"/>
        <color rgb="FF000000"/>
        <rFont val="宋体"/>
        <charset val="134"/>
      </rPr>
      <t>三亚市清流园水质净化厂工程地下室发现阳性积水</t>
    </r>
  </si>
  <si>
    <r>
      <t>6.</t>
    </r>
    <r>
      <rPr>
        <sz val="12"/>
        <color rgb="FF000000"/>
        <rFont val="宋体"/>
        <charset val="134"/>
      </rPr>
      <t>三亚市清流园水质净化厂工程地下室积水坑发现阳性积水</t>
    </r>
  </si>
  <si>
    <r>
      <rPr>
        <sz val="12"/>
        <color rgb="FF000000"/>
        <rFont val="宋体"/>
        <charset val="134"/>
      </rPr>
      <t>三十七、电力新能源运维服务中心</t>
    </r>
  </si>
  <si>
    <r>
      <t>1.</t>
    </r>
    <r>
      <rPr>
        <sz val="12"/>
        <color rgb="FF000000"/>
        <rFont val="宋体"/>
        <charset val="134"/>
      </rPr>
      <t>电力新能源运维服务中心生活区发现阳性积水</t>
    </r>
  </si>
  <si>
    <r>
      <t>2.</t>
    </r>
    <r>
      <rPr>
        <sz val="12"/>
        <color rgb="FF000000"/>
        <rFont val="宋体"/>
        <charset val="134"/>
      </rPr>
      <t>电力新能源运维服务中心集水井发现阳性积水</t>
    </r>
  </si>
  <si>
    <r>
      <t>3.</t>
    </r>
    <r>
      <rPr>
        <sz val="12"/>
        <color rgb="FF000000"/>
        <rFont val="宋体"/>
        <charset val="134"/>
      </rPr>
      <t>电力新能源运维服务中心地下室集水井发现阳性积水</t>
    </r>
  </si>
  <si>
    <r>
      <t>4.</t>
    </r>
    <r>
      <rPr>
        <sz val="12"/>
        <color rgb="FF000000"/>
        <rFont val="宋体"/>
        <charset val="134"/>
      </rPr>
      <t>电力新能源运维服务中心生活区未装蚊帐</t>
    </r>
  </si>
  <si>
    <r>
      <rPr>
        <sz val="12"/>
        <color rgb="FF000000"/>
        <rFont val="宋体"/>
        <charset val="134"/>
      </rPr>
      <t>三十八、国家级（旅游）高技能人才培训基地项目</t>
    </r>
  </si>
  <si>
    <r>
      <t>1.</t>
    </r>
    <r>
      <rPr>
        <sz val="12"/>
        <color rgb="FF000000"/>
        <rFont val="宋体"/>
        <charset val="134"/>
      </rPr>
      <t>国家级（旅游）高技能人才培训基地项目围挡边发现阳性积水</t>
    </r>
  </si>
  <si>
    <r>
      <t>2.</t>
    </r>
    <r>
      <rPr>
        <sz val="12"/>
        <color rgb="FF000000"/>
        <rFont val="宋体"/>
        <charset val="134"/>
      </rPr>
      <t>国家级（旅游）高技能人才培训基地项目地下室发现阳性积水</t>
    </r>
  </si>
  <si>
    <r>
      <rPr>
        <sz val="12"/>
        <color rgb="FF000000"/>
        <rFont val="宋体"/>
        <charset val="134"/>
      </rPr>
      <t>三十九、金色半山二期项目</t>
    </r>
  </si>
  <si>
    <r>
      <t>1.</t>
    </r>
    <r>
      <rPr>
        <sz val="12"/>
        <color rgb="FF000000"/>
        <rFont val="宋体"/>
        <charset val="134"/>
      </rPr>
      <t>金色半山二期项目工地生活区发现阳性积水</t>
    </r>
  </si>
  <si>
    <r>
      <t>2.</t>
    </r>
    <r>
      <rPr>
        <sz val="12"/>
        <color rgb="FF000000"/>
        <rFont val="宋体"/>
        <charset val="134"/>
      </rPr>
      <t>金色半山二期项目工地生活区水桶发现阳性积水</t>
    </r>
  </si>
  <si>
    <r>
      <t>3.</t>
    </r>
    <r>
      <rPr>
        <sz val="12"/>
        <color rgb="FF000000"/>
        <rFont val="宋体"/>
        <charset val="134"/>
      </rPr>
      <t>金色半山二期项目工地生活区吸烟区发现阳性积水</t>
    </r>
  </si>
  <si>
    <r>
      <t>4.</t>
    </r>
    <r>
      <rPr>
        <sz val="12"/>
        <color rgb="FF000000"/>
        <rFont val="宋体"/>
        <charset val="134"/>
      </rPr>
      <t>金色半山二期项目工地施工现场发现阳性积水</t>
    </r>
  </si>
  <si>
    <r>
      <t>5.</t>
    </r>
    <r>
      <rPr>
        <sz val="12"/>
        <color rgb="FF000000"/>
        <rFont val="宋体"/>
        <charset val="134"/>
      </rPr>
      <t>金色半山二期项目工地施工现场电箱旁发现阳性积水</t>
    </r>
  </si>
  <si>
    <r>
      <rPr>
        <sz val="12"/>
        <color rgb="FF000000"/>
        <rFont val="宋体"/>
        <charset val="134"/>
      </rPr>
      <t>四十、三亚鹿回头温德姆酒店大堂改造项目</t>
    </r>
  </si>
  <si>
    <r>
      <t>1.</t>
    </r>
    <r>
      <rPr>
        <sz val="12"/>
        <color rgb="FF000000"/>
        <rFont val="宋体"/>
        <charset val="134"/>
      </rPr>
      <t>三亚鹿回头温德姆酒店大堂改造项目无消杀记录表</t>
    </r>
  </si>
  <si>
    <r>
      <t>2.</t>
    </r>
    <r>
      <rPr>
        <sz val="12"/>
        <color rgb="FF000000"/>
        <rFont val="宋体"/>
        <charset val="134"/>
      </rPr>
      <t>三亚鹿回头温德姆酒店大堂改造项目施工现场废弃瓶罐较多，易积水孳生蚊幼</t>
    </r>
  </si>
  <si>
    <r>
      <rPr>
        <sz val="12"/>
        <color rgb="FF000000"/>
        <rFont val="宋体"/>
        <charset val="134"/>
      </rPr>
      <t>四十一、三亚河口通道工程项目</t>
    </r>
  </si>
  <si>
    <r>
      <t>1.</t>
    </r>
    <r>
      <rPr>
        <sz val="12"/>
        <color rgb="FF000000"/>
        <rFont val="宋体"/>
        <charset val="134"/>
      </rPr>
      <t>三亚河口通道工程项目消杀记录表不完善（无药品使用量、浓度配比、消杀面积等）</t>
    </r>
  </si>
  <si>
    <r>
      <t>2.</t>
    </r>
    <r>
      <rPr>
        <sz val="12"/>
        <color rgb="FF000000"/>
        <rFont val="宋体"/>
        <charset val="134"/>
      </rPr>
      <t>三亚河口通道工程项目部分宿舍未装蚊帐</t>
    </r>
  </si>
  <si>
    <r>
      <rPr>
        <sz val="12"/>
        <color rgb="FF000000"/>
        <rFont val="宋体"/>
        <charset val="134"/>
      </rPr>
      <t>四十二、中旅三亚湾项目南地块</t>
    </r>
  </si>
  <si>
    <r>
      <t>1.</t>
    </r>
    <r>
      <rPr>
        <sz val="12"/>
        <color rgb="FF000000"/>
        <rFont val="宋体"/>
        <charset val="134"/>
      </rPr>
      <t>中旅三亚湾项目南地块消杀记录表不完善（无药品使用量）</t>
    </r>
  </si>
  <si>
    <r>
      <t>2.</t>
    </r>
    <r>
      <rPr>
        <sz val="12"/>
        <color rgb="FF000000"/>
        <rFont val="宋体"/>
        <charset val="134"/>
      </rPr>
      <t>中旅三亚湾项目南地块施工现场钢筋棚前方钢架底座发现阳性积水</t>
    </r>
  </si>
  <si>
    <r>
      <t>3.</t>
    </r>
    <r>
      <rPr>
        <sz val="12"/>
        <color rgb="FF000000"/>
        <rFont val="宋体"/>
        <charset val="134"/>
      </rPr>
      <t>中旅三亚湾项目南地块施工现场钢筋棚前方遮雨布发现阳性积水</t>
    </r>
  </si>
  <si>
    <r>
      <t>4.</t>
    </r>
    <r>
      <rPr>
        <sz val="12"/>
        <color rgb="FF000000"/>
        <rFont val="宋体"/>
        <charset val="134"/>
      </rPr>
      <t>中旅三亚湾项目南地块施工现场发现阳性积水</t>
    </r>
  </si>
  <si>
    <r>
      <t>5.</t>
    </r>
    <r>
      <rPr>
        <sz val="12"/>
        <color rgb="FF000000"/>
        <rFont val="宋体"/>
        <charset val="134"/>
      </rPr>
      <t>中旅三亚湾项目南地块施工现场发现阳性积水</t>
    </r>
  </si>
  <si>
    <r>
      <rPr>
        <sz val="12"/>
        <color rgb="FF000000"/>
        <rFont val="宋体"/>
        <charset val="134"/>
      </rPr>
      <t>四十三、中旅三亚湾项目北地块</t>
    </r>
  </si>
  <si>
    <r>
      <t>1.</t>
    </r>
    <r>
      <rPr>
        <sz val="12"/>
        <color rgb="FF000000"/>
        <rFont val="宋体"/>
        <charset val="134"/>
      </rPr>
      <t>中旅三亚湾项目北地块施工现场仓库旁排水沟发现阳性积水</t>
    </r>
  </si>
  <si>
    <r>
      <t>2.</t>
    </r>
    <r>
      <rPr>
        <sz val="12"/>
        <color rgb="FF000000"/>
        <rFont val="宋体"/>
        <charset val="134"/>
      </rPr>
      <t>中旅三亚湾项目北地块地下室发现阳性积水</t>
    </r>
  </si>
  <si>
    <r>
      <t>3.</t>
    </r>
    <r>
      <rPr>
        <sz val="12"/>
        <color rgb="FF000000"/>
        <rFont val="宋体"/>
        <charset val="134"/>
      </rPr>
      <t>中旅三亚湾项目北地块地下室消防栓发现阳性积水</t>
    </r>
  </si>
  <si>
    <r>
      <t>4.</t>
    </r>
    <r>
      <rPr>
        <sz val="12"/>
        <color rgb="FF000000"/>
        <rFont val="宋体"/>
        <charset val="134"/>
      </rPr>
      <t>中旅三亚湾项目北地块地下室发现阳性积水</t>
    </r>
  </si>
  <si>
    <r>
      <t>5.</t>
    </r>
    <r>
      <rPr>
        <sz val="12"/>
        <color rgb="FF000000"/>
        <rFont val="宋体"/>
        <charset val="134"/>
      </rPr>
      <t>中旅三亚湾项目北地块地下室集水井发现阳性积水</t>
    </r>
  </si>
  <si>
    <r>
      <rPr>
        <sz val="12"/>
        <color rgb="FF000000"/>
        <rFont val="宋体"/>
        <charset val="134"/>
      </rPr>
      <t>四十四、海南国际文化交流中心项目</t>
    </r>
  </si>
  <si>
    <r>
      <t>1.</t>
    </r>
    <r>
      <rPr>
        <sz val="12"/>
        <color rgb="FF000000"/>
        <rFont val="宋体"/>
        <charset val="134"/>
      </rPr>
      <t>海南国际文化交流中心项目生活区发现阳性积水</t>
    </r>
  </si>
  <si>
    <r>
      <t>2.</t>
    </r>
    <r>
      <rPr>
        <sz val="12"/>
        <color rgb="FF000000"/>
        <rFont val="宋体"/>
        <charset val="134"/>
      </rPr>
      <t>海南国际文化交流中心项目施工现场二楼平台发现阳性积水</t>
    </r>
  </si>
  <si>
    <r>
      <t>3.</t>
    </r>
    <r>
      <rPr>
        <sz val="12"/>
        <color rgb="FF000000"/>
        <rFont val="宋体"/>
        <charset val="134"/>
      </rPr>
      <t>海南国际文化交流中心项目施工现场二楼平台发现阳性积水</t>
    </r>
  </si>
  <si>
    <r>
      <rPr>
        <sz val="12"/>
        <color rgb="FF000000"/>
        <rFont val="宋体"/>
        <charset val="134"/>
      </rPr>
      <t>四十五、三亚丝路欢乐世界（</t>
    </r>
    <r>
      <rPr>
        <sz val="12"/>
        <color rgb="FF000000"/>
        <rFont val="Times New Roman"/>
        <charset val="134"/>
      </rPr>
      <t>B</t>
    </r>
    <r>
      <rPr>
        <sz val="12"/>
        <color rgb="FF000000"/>
        <rFont val="宋体"/>
        <charset val="134"/>
      </rPr>
      <t>段）项目一标</t>
    </r>
  </si>
  <si>
    <r>
      <t>1.</t>
    </r>
    <r>
      <rPr>
        <sz val="12"/>
        <color rgb="FF000000"/>
        <rFont val="宋体"/>
        <charset val="134"/>
      </rPr>
      <t>三亚丝路欢乐世界（</t>
    </r>
    <r>
      <rPr>
        <sz val="12"/>
        <color rgb="FF000000"/>
        <rFont val="Times New Roman"/>
        <charset val="134"/>
      </rPr>
      <t>B</t>
    </r>
    <r>
      <rPr>
        <sz val="12"/>
        <color rgb="FF000000"/>
        <rFont val="宋体"/>
        <charset val="134"/>
      </rPr>
      <t>段）项目一标消杀记录表不完善（无药品使用量、浓度配比、消杀面积等）</t>
    </r>
  </si>
  <si>
    <r>
      <t>2.</t>
    </r>
    <r>
      <rPr>
        <sz val="12"/>
        <color rgb="FF000000"/>
        <rFont val="宋体"/>
        <charset val="134"/>
      </rPr>
      <t>三亚丝路欢乐世界（</t>
    </r>
    <r>
      <rPr>
        <sz val="12"/>
        <color rgb="FF000000"/>
        <rFont val="Times New Roman"/>
        <charset val="134"/>
      </rPr>
      <t>B</t>
    </r>
    <r>
      <rPr>
        <sz val="12"/>
        <color rgb="FF000000"/>
        <rFont val="宋体"/>
        <charset val="134"/>
      </rPr>
      <t>段）项目一标施工现场轮胎发现阳性积水</t>
    </r>
  </si>
  <si>
    <r>
      <rPr>
        <sz val="12"/>
        <color rgb="FF000000"/>
        <rFont val="宋体"/>
        <charset val="134"/>
      </rPr>
      <t>四十六、国家农作物种质资源中转及南繁植物检疫隔离基地建设项目</t>
    </r>
  </si>
  <si>
    <r>
      <t>1.</t>
    </r>
    <r>
      <rPr>
        <sz val="12"/>
        <color rgb="FF000000"/>
        <rFont val="宋体"/>
        <charset val="134"/>
      </rPr>
      <t>国家农作物种质资源中转及南繁植物检疫隔离基地建设项目部分宿舍未装蚊帐</t>
    </r>
  </si>
  <si>
    <r>
      <t>2.</t>
    </r>
    <r>
      <rPr>
        <sz val="12"/>
        <color rgb="FF000000"/>
        <rFont val="宋体"/>
        <charset val="134"/>
      </rPr>
      <t>国家农作物种质资源中转及南繁植物检疫隔离基地建设项目地下室入口发现阳性积水</t>
    </r>
  </si>
  <si>
    <r>
      <t>3.</t>
    </r>
    <r>
      <rPr>
        <sz val="12"/>
        <color rgb="FF000000"/>
        <rFont val="宋体"/>
        <charset val="134"/>
      </rPr>
      <t>国家农作物种质资源中转及南繁植物检疫隔离基地建设项目地下室发现阳性积水</t>
    </r>
  </si>
  <si>
    <r>
      <rPr>
        <sz val="12"/>
        <color rgb="FF000000"/>
        <rFont val="宋体"/>
        <charset val="134"/>
      </rPr>
      <t>四十七、三亚新联服务区（北侧）综合能源补给站</t>
    </r>
  </si>
  <si>
    <r>
      <t>1.</t>
    </r>
    <r>
      <rPr>
        <sz val="12"/>
        <color rgb="FF000000"/>
        <rFont val="宋体"/>
        <charset val="134"/>
      </rPr>
      <t>三亚新联服务区（北侧）综合能源补给站消杀记录表不完善（无浓度配比、消杀面积等）</t>
    </r>
  </si>
  <si>
    <r>
      <rPr>
        <sz val="12"/>
        <color rgb="FF000000"/>
        <rFont val="宋体"/>
        <charset val="134"/>
      </rPr>
      <t>四十八、三亚湾瑞吉度假酒店</t>
    </r>
  </si>
  <si>
    <r>
      <t>1.</t>
    </r>
    <r>
      <rPr>
        <sz val="12"/>
        <color rgb="FF000000"/>
        <rFont val="宋体"/>
        <charset val="134"/>
      </rPr>
      <t>三亚湾瑞吉度假酒店地下室发现阳性积水</t>
    </r>
  </si>
  <si>
    <r>
      <t>2.</t>
    </r>
    <r>
      <rPr>
        <sz val="12"/>
        <color rgb="FF000000"/>
        <rFont val="宋体"/>
        <charset val="134"/>
      </rPr>
      <t>三亚湾瑞吉度假酒店地下室集水井发现阳性积水</t>
    </r>
  </si>
  <si>
    <r>
      <t>3.</t>
    </r>
    <r>
      <rPr>
        <sz val="12"/>
        <color rgb="FF000000"/>
        <rFont val="宋体"/>
        <charset val="134"/>
      </rPr>
      <t>三亚湾瑞吉度假酒店地下室集水井发现阳性积水</t>
    </r>
  </si>
  <si>
    <r>
      <rPr>
        <sz val="12"/>
        <color rgb="FF000000"/>
        <rFont val="宋体"/>
        <charset val="134"/>
      </rPr>
      <t>四十九、三亚湾</t>
    </r>
    <r>
      <rPr>
        <sz val="12"/>
        <color rgb="FF000000"/>
        <rFont val="Times New Roman"/>
        <charset val="134"/>
      </rPr>
      <t>·</t>
    </r>
    <r>
      <rPr>
        <sz val="12"/>
        <color rgb="FF000000"/>
        <rFont val="宋体"/>
        <charset val="134"/>
      </rPr>
      <t>和悦学府（二期）</t>
    </r>
  </si>
  <si>
    <r>
      <t>1.</t>
    </r>
    <r>
      <rPr>
        <sz val="12"/>
        <color rgb="FF000000"/>
        <rFont val="宋体"/>
        <charset val="134"/>
      </rPr>
      <t>三亚湾</t>
    </r>
    <r>
      <rPr>
        <sz val="12"/>
        <color rgb="FF000000"/>
        <rFont val="Times New Roman"/>
        <charset val="134"/>
      </rPr>
      <t>·</t>
    </r>
    <r>
      <rPr>
        <sz val="12"/>
        <color rgb="FF000000"/>
        <rFont val="宋体"/>
        <charset val="134"/>
      </rPr>
      <t>和悦学府（二期）消杀记录表不完善（无浓度配比、消杀面积等）</t>
    </r>
  </si>
  <si>
    <r>
      <rPr>
        <sz val="12"/>
        <color rgb="FF000000"/>
        <rFont val="宋体"/>
        <charset val="134"/>
      </rPr>
      <t>五十、海坡</t>
    </r>
    <r>
      <rPr>
        <sz val="12"/>
        <color rgb="FF000000"/>
        <rFont val="Times New Roman"/>
        <charset val="134"/>
      </rPr>
      <t>HP03-19-02</t>
    </r>
    <r>
      <rPr>
        <sz val="12"/>
        <color rgb="FF000000"/>
        <rFont val="宋体"/>
        <charset val="134"/>
      </rPr>
      <t>地块项目</t>
    </r>
  </si>
  <si>
    <r>
      <t>1.</t>
    </r>
    <r>
      <rPr>
        <sz val="12"/>
        <color rgb="FF000000"/>
        <rFont val="宋体"/>
        <charset val="134"/>
      </rPr>
      <t>海坡</t>
    </r>
    <r>
      <rPr>
        <sz val="12"/>
        <color rgb="FF000000"/>
        <rFont val="Times New Roman"/>
        <charset val="134"/>
      </rPr>
      <t>HP03-19-02</t>
    </r>
    <r>
      <rPr>
        <sz val="12"/>
        <color rgb="FF000000"/>
        <rFont val="宋体"/>
        <charset val="134"/>
      </rPr>
      <t>地块项目消杀记录表不完善（无浓度配比、消杀面积等）</t>
    </r>
  </si>
  <si>
    <r>
      <t>2.</t>
    </r>
    <r>
      <rPr>
        <sz val="12"/>
        <color rgb="FF000000"/>
        <rFont val="宋体"/>
        <charset val="134"/>
      </rPr>
      <t>海坡</t>
    </r>
    <r>
      <rPr>
        <sz val="12"/>
        <color rgb="FF000000"/>
        <rFont val="Times New Roman"/>
        <charset val="134"/>
      </rPr>
      <t>HP03-19-02</t>
    </r>
    <r>
      <rPr>
        <sz val="12"/>
        <color rgb="FF000000"/>
        <rFont val="宋体"/>
        <charset val="134"/>
      </rPr>
      <t>地块项目部分宿舍未装蚊帐</t>
    </r>
  </si>
  <si>
    <r>
      <t>3.</t>
    </r>
    <r>
      <rPr>
        <sz val="12"/>
        <color rgb="FF000000"/>
        <rFont val="宋体"/>
        <charset val="134"/>
      </rPr>
      <t>海坡</t>
    </r>
    <r>
      <rPr>
        <sz val="12"/>
        <color rgb="FF000000"/>
        <rFont val="Times New Roman"/>
        <charset val="134"/>
      </rPr>
      <t>HP03-19-02</t>
    </r>
    <r>
      <rPr>
        <sz val="12"/>
        <color rgb="FF000000"/>
        <rFont val="宋体"/>
        <charset val="134"/>
      </rPr>
      <t>地块项目施工现场发现阳性积水</t>
    </r>
  </si>
  <si>
    <r>
      <rPr>
        <sz val="12"/>
        <color rgb="FF000000"/>
        <rFont val="宋体"/>
        <charset val="134"/>
      </rPr>
      <t>五十一、金盛</t>
    </r>
    <r>
      <rPr>
        <sz val="12"/>
        <color rgb="FF000000"/>
        <rFont val="Times New Roman"/>
        <charset val="134"/>
      </rPr>
      <t>·</t>
    </r>
    <r>
      <rPr>
        <sz val="12"/>
        <color rgb="FF000000"/>
        <rFont val="宋体"/>
        <charset val="134"/>
      </rPr>
      <t>三亚湾项目</t>
    </r>
  </si>
  <si>
    <r>
      <t>1.</t>
    </r>
    <r>
      <rPr>
        <sz val="12"/>
        <color rgb="FF000000"/>
        <rFont val="宋体"/>
        <charset val="134"/>
      </rPr>
      <t>金盛</t>
    </r>
    <r>
      <rPr>
        <sz val="12"/>
        <color rgb="FF000000"/>
        <rFont val="Times New Roman"/>
        <charset val="134"/>
      </rPr>
      <t>·</t>
    </r>
    <r>
      <rPr>
        <sz val="12"/>
        <color rgb="FF000000"/>
        <rFont val="宋体"/>
        <charset val="134"/>
      </rPr>
      <t>三亚湾项目施工记录表不完善（无浓度配比、消杀面积等）</t>
    </r>
  </si>
  <si>
    <r>
      <t>2.</t>
    </r>
    <r>
      <rPr>
        <sz val="12"/>
        <color rgb="FF000000"/>
        <rFont val="宋体"/>
        <charset val="134"/>
      </rPr>
      <t>金盛</t>
    </r>
    <r>
      <rPr>
        <sz val="12"/>
        <color rgb="FF000000"/>
        <rFont val="Times New Roman"/>
        <charset val="134"/>
      </rPr>
      <t>·</t>
    </r>
    <r>
      <rPr>
        <sz val="12"/>
        <color rgb="FF000000"/>
        <rFont val="宋体"/>
        <charset val="134"/>
      </rPr>
      <t>三亚湾项目施工现场水桶发现阳性积水</t>
    </r>
  </si>
  <si>
    <r>
      <t>3.</t>
    </r>
    <r>
      <rPr>
        <sz val="12"/>
        <color rgb="FF000000"/>
        <rFont val="宋体"/>
        <charset val="134"/>
      </rPr>
      <t>金盛</t>
    </r>
    <r>
      <rPr>
        <sz val="12"/>
        <color rgb="FF000000"/>
        <rFont val="Times New Roman"/>
        <charset val="134"/>
      </rPr>
      <t>·</t>
    </r>
    <r>
      <rPr>
        <sz val="12"/>
        <color rgb="FF000000"/>
        <rFont val="宋体"/>
        <charset val="134"/>
      </rPr>
      <t>三亚湾项目施工现场轮胎发现阳性积水</t>
    </r>
  </si>
  <si>
    <r>
      <t>4.</t>
    </r>
    <r>
      <rPr>
        <sz val="12"/>
        <color rgb="FF000000"/>
        <rFont val="宋体"/>
        <charset val="134"/>
      </rPr>
      <t>金盛</t>
    </r>
    <r>
      <rPr>
        <sz val="12"/>
        <color rgb="FF000000"/>
        <rFont val="Times New Roman"/>
        <charset val="134"/>
      </rPr>
      <t>·</t>
    </r>
    <r>
      <rPr>
        <sz val="12"/>
        <color rgb="FF000000"/>
        <rFont val="宋体"/>
        <charset val="134"/>
      </rPr>
      <t>三亚湾项目施工现场消防栓旁发现阳性积水</t>
    </r>
  </si>
  <si>
    <r>
      <t>5.</t>
    </r>
    <r>
      <rPr>
        <sz val="12"/>
        <color rgb="FF000000"/>
        <rFont val="宋体"/>
        <charset val="134"/>
      </rPr>
      <t>金盛</t>
    </r>
    <r>
      <rPr>
        <sz val="12"/>
        <color rgb="FF000000"/>
        <rFont val="Times New Roman"/>
        <charset val="134"/>
      </rPr>
      <t>·</t>
    </r>
    <r>
      <rPr>
        <sz val="12"/>
        <color rgb="FF000000"/>
        <rFont val="宋体"/>
        <charset val="134"/>
      </rPr>
      <t>三亚湾项目地下室小隔间发现阳性积水</t>
    </r>
  </si>
  <si>
    <r>
      <t>6.</t>
    </r>
    <r>
      <rPr>
        <sz val="12"/>
        <color rgb="FF000000"/>
        <rFont val="宋体"/>
        <charset val="134"/>
      </rPr>
      <t>金盛</t>
    </r>
    <r>
      <rPr>
        <sz val="12"/>
        <color rgb="FF000000"/>
        <rFont val="Times New Roman"/>
        <charset val="134"/>
      </rPr>
      <t>·</t>
    </r>
    <r>
      <rPr>
        <sz val="12"/>
        <color rgb="FF000000"/>
        <rFont val="宋体"/>
        <charset val="134"/>
      </rPr>
      <t>三亚湾项目地下室集水井发现阳性积水</t>
    </r>
  </si>
  <si>
    <r>
      <t>7.</t>
    </r>
    <r>
      <rPr>
        <sz val="12"/>
        <color rgb="FF000000"/>
        <rFont val="宋体"/>
        <charset val="134"/>
      </rPr>
      <t>金盛</t>
    </r>
    <r>
      <rPr>
        <sz val="12"/>
        <color rgb="FF000000"/>
        <rFont val="Times New Roman"/>
        <charset val="134"/>
      </rPr>
      <t>·</t>
    </r>
    <r>
      <rPr>
        <sz val="12"/>
        <color rgb="FF000000"/>
        <rFont val="宋体"/>
        <charset val="134"/>
      </rPr>
      <t>三亚湾项目地下室集水井发现阳性积水</t>
    </r>
  </si>
  <si>
    <r>
      <rPr>
        <sz val="12"/>
        <color rgb="FF000000"/>
        <rFont val="宋体"/>
        <charset val="134"/>
      </rPr>
      <t>五十二、三亚市天涯区回新逸夫小学改扩建项目</t>
    </r>
  </si>
  <si>
    <r>
      <t>1.</t>
    </r>
    <r>
      <rPr>
        <sz val="12"/>
        <color rgb="FF000000"/>
        <rFont val="宋体"/>
        <charset val="134"/>
      </rPr>
      <t>三亚市天涯区回新逸夫小学改扩建项目消杀记录表不完善（无浓度配比、消杀面积等）</t>
    </r>
  </si>
  <si>
    <r>
      <t>2.</t>
    </r>
    <r>
      <rPr>
        <sz val="12"/>
        <color rgb="FF000000"/>
        <rFont val="宋体"/>
        <charset val="134"/>
      </rPr>
      <t>三亚市天涯区回新逸夫小学改扩建项目地下室发现阳性积水</t>
    </r>
  </si>
  <si>
    <r>
      <t>3.</t>
    </r>
    <r>
      <rPr>
        <sz val="12"/>
        <color rgb="FF000000"/>
        <rFont val="宋体"/>
        <charset val="134"/>
      </rPr>
      <t>三亚市天涯区回新逸夫小学改扩建项目水沟发现阳性积水</t>
    </r>
  </si>
  <si>
    <r>
      <t>4.</t>
    </r>
    <r>
      <rPr>
        <sz val="12"/>
        <color rgb="FF000000"/>
        <rFont val="宋体"/>
        <charset val="134"/>
      </rPr>
      <t>三亚市天涯区回新逸夫小学改扩建项目集水井发现阳性积水</t>
    </r>
  </si>
  <si>
    <r>
      <t>5.</t>
    </r>
    <r>
      <rPr>
        <sz val="12"/>
        <color rgb="FF000000"/>
        <rFont val="宋体"/>
        <charset val="134"/>
      </rPr>
      <t>三亚市天涯区回新逸夫小学改扩建项目排水沟发现阳性积水</t>
    </r>
  </si>
  <si>
    <r>
      <t>6.</t>
    </r>
    <r>
      <rPr>
        <sz val="12"/>
        <color rgb="FF000000"/>
        <rFont val="宋体"/>
        <charset val="134"/>
      </rPr>
      <t>三亚市天涯区回新逸夫小学改扩建项目生活区发现阳性积水</t>
    </r>
  </si>
  <si>
    <r>
      <rPr>
        <sz val="12"/>
        <color rgb="FF000000"/>
        <rFont val="宋体"/>
        <charset val="134"/>
      </rPr>
      <t>五十三、三亚中央商务区凤凰海岸单元</t>
    </r>
    <r>
      <rPr>
        <sz val="12"/>
        <color rgb="FF000000"/>
        <rFont val="Times New Roman"/>
        <charset val="134"/>
      </rPr>
      <t xml:space="preserve"> YGHA06-03-11</t>
    </r>
    <r>
      <rPr>
        <sz val="12"/>
        <color rgb="FF000000"/>
        <rFont val="宋体"/>
        <charset val="134"/>
      </rPr>
      <t>、</t>
    </r>
    <r>
      <rPr>
        <sz val="12"/>
        <color rgb="FF000000"/>
        <rFont val="Times New Roman"/>
        <charset val="134"/>
      </rPr>
      <t>12</t>
    </r>
    <r>
      <rPr>
        <sz val="12"/>
        <color rgb="FF000000"/>
        <rFont val="宋体"/>
        <charset val="134"/>
      </rPr>
      <t>、</t>
    </r>
    <r>
      <rPr>
        <sz val="12"/>
        <color rgb="FF000000"/>
        <rFont val="Times New Roman"/>
        <charset val="134"/>
      </rPr>
      <t>13</t>
    </r>
    <r>
      <rPr>
        <sz val="12"/>
        <color rgb="FF000000"/>
        <rFont val="宋体"/>
        <charset val="134"/>
      </rPr>
      <t>、</t>
    </r>
    <r>
      <rPr>
        <sz val="12"/>
        <color rgb="FF000000"/>
        <rFont val="Times New Roman"/>
        <charset val="134"/>
      </rPr>
      <t xml:space="preserve">15 </t>
    </r>
    <r>
      <rPr>
        <sz val="12"/>
        <color rgb="FF000000"/>
        <rFont val="宋体"/>
        <charset val="134"/>
      </rPr>
      <t>地块项目</t>
    </r>
  </si>
  <si>
    <r>
      <t>1.</t>
    </r>
    <r>
      <rPr>
        <sz val="12"/>
        <color rgb="FF000000"/>
        <rFont val="宋体"/>
        <charset val="134"/>
      </rPr>
      <t>三亚中央商务区凤凰海岸单元</t>
    </r>
    <r>
      <rPr>
        <sz val="12"/>
        <color rgb="FF000000"/>
        <rFont val="Times New Roman"/>
        <charset val="134"/>
      </rPr>
      <t xml:space="preserve"> YGHA06-03-11</t>
    </r>
    <r>
      <rPr>
        <sz val="12"/>
        <color rgb="FF000000"/>
        <rFont val="宋体"/>
        <charset val="134"/>
      </rPr>
      <t>、</t>
    </r>
    <r>
      <rPr>
        <sz val="12"/>
        <color rgb="FF000000"/>
        <rFont val="Times New Roman"/>
        <charset val="134"/>
      </rPr>
      <t>12</t>
    </r>
    <r>
      <rPr>
        <sz val="12"/>
        <color rgb="FF000000"/>
        <rFont val="宋体"/>
        <charset val="134"/>
      </rPr>
      <t>、</t>
    </r>
    <r>
      <rPr>
        <sz val="12"/>
        <color rgb="FF000000"/>
        <rFont val="Times New Roman"/>
        <charset val="134"/>
      </rPr>
      <t>13</t>
    </r>
    <r>
      <rPr>
        <sz val="12"/>
        <color rgb="FF000000"/>
        <rFont val="宋体"/>
        <charset val="134"/>
      </rPr>
      <t>、</t>
    </r>
    <r>
      <rPr>
        <sz val="12"/>
        <color rgb="FF000000"/>
        <rFont val="Times New Roman"/>
        <charset val="134"/>
      </rPr>
      <t xml:space="preserve">15 </t>
    </r>
    <r>
      <rPr>
        <sz val="12"/>
        <color rgb="FF000000"/>
        <rFont val="宋体"/>
        <charset val="134"/>
      </rPr>
      <t>地块项目施工现场地下室发现阳性积水</t>
    </r>
  </si>
  <si>
    <r>
      <t>2.</t>
    </r>
    <r>
      <rPr>
        <sz val="12"/>
        <color rgb="FF000000"/>
        <rFont val="宋体"/>
        <charset val="134"/>
      </rPr>
      <t>三亚中央商务区凤凰海岸单元</t>
    </r>
    <r>
      <rPr>
        <sz val="12"/>
        <color rgb="FF000000"/>
        <rFont val="Times New Roman"/>
        <charset val="134"/>
      </rPr>
      <t xml:space="preserve"> YGHA06-03-11</t>
    </r>
    <r>
      <rPr>
        <sz val="12"/>
        <color rgb="FF000000"/>
        <rFont val="宋体"/>
        <charset val="134"/>
      </rPr>
      <t>、</t>
    </r>
    <r>
      <rPr>
        <sz val="12"/>
        <color rgb="FF000000"/>
        <rFont val="Times New Roman"/>
        <charset val="134"/>
      </rPr>
      <t>12</t>
    </r>
    <r>
      <rPr>
        <sz val="12"/>
        <color rgb="FF000000"/>
        <rFont val="宋体"/>
        <charset val="134"/>
      </rPr>
      <t>、</t>
    </r>
    <r>
      <rPr>
        <sz val="12"/>
        <color rgb="FF000000"/>
        <rFont val="Times New Roman"/>
        <charset val="134"/>
      </rPr>
      <t>13</t>
    </r>
    <r>
      <rPr>
        <sz val="12"/>
        <color rgb="FF000000"/>
        <rFont val="宋体"/>
        <charset val="134"/>
      </rPr>
      <t>、</t>
    </r>
    <r>
      <rPr>
        <sz val="12"/>
        <color rgb="FF000000"/>
        <rFont val="Times New Roman"/>
        <charset val="134"/>
      </rPr>
      <t xml:space="preserve">15 </t>
    </r>
    <r>
      <rPr>
        <sz val="12"/>
        <color rgb="FF000000"/>
        <rFont val="宋体"/>
        <charset val="134"/>
      </rPr>
      <t>地块项目施工现场地下室发现阳性积水</t>
    </r>
  </si>
  <si>
    <r>
      <t>3.</t>
    </r>
    <r>
      <rPr>
        <sz val="12"/>
        <color rgb="FF000000"/>
        <rFont val="宋体"/>
        <charset val="134"/>
      </rPr>
      <t>三亚中央商务区凤凰海岸单元</t>
    </r>
    <r>
      <rPr>
        <sz val="12"/>
        <color rgb="FF000000"/>
        <rFont val="Times New Roman"/>
        <charset val="134"/>
      </rPr>
      <t xml:space="preserve"> YGHA06-03-11</t>
    </r>
    <r>
      <rPr>
        <sz val="12"/>
        <color rgb="FF000000"/>
        <rFont val="宋体"/>
        <charset val="134"/>
      </rPr>
      <t>、</t>
    </r>
    <r>
      <rPr>
        <sz val="12"/>
        <color rgb="FF000000"/>
        <rFont val="Times New Roman"/>
        <charset val="134"/>
      </rPr>
      <t>12</t>
    </r>
    <r>
      <rPr>
        <sz val="12"/>
        <color rgb="FF000000"/>
        <rFont val="宋体"/>
        <charset val="134"/>
      </rPr>
      <t>、</t>
    </r>
    <r>
      <rPr>
        <sz val="12"/>
        <color rgb="FF000000"/>
        <rFont val="Times New Roman"/>
        <charset val="134"/>
      </rPr>
      <t>13</t>
    </r>
    <r>
      <rPr>
        <sz val="12"/>
        <color rgb="FF000000"/>
        <rFont val="宋体"/>
        <charset val="134"/>
      </rPr>
      <t>、</t>
    </r>
    <r>
      <rPr>
        <sz val="12"/>
        <color rgb="FF000000"/>
        <rFont val="Times New Roman"/>
        <charset val="134"/>
      </rPr>
      <t xml:space="preserve">15 </t>
    </r>
    <r>
      <rPr>
        <sz val="12"/>
        <color rgb="FF000000"/>
        <rFont val="宋体"/>
        <charset val="134"/>
      </rPr>
      <t>地块项目施工现场地下室发现阳性积水</t>
    </r>
  </si>
  <si>
    <r>
      <rPr>
        <sz val="12"/>
        <color rgb="FF000000"/>
        <rFont val="宋体"/>
        <charset val="134"/>
      </rPr>
      <t>五十四、大唐三亚总部基地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t>
    </r>
  </si>
  <si>
    <r>
      <t>1.</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地块住宅公寓项目施工现场地下室发现阳性积水</t>
    </r>
  </si>
  <si>
    <r>
      <t>2.</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地块住宅公寓项目施工现场地下室发现阳性积水</t>
    </r>
  </si>
  <si>
    <r>
      <t>3.</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地块住宅公寓项目施工现场地下室发现阳性积水，成蚊密度较高</t>
    </r>
  </si>
  <si>
    <r>
      <t>4.</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地块住宅公寓项目施工现场地下室发现阳性积水</t>
    </r>
  </si>
  <si>
    <r>
      <t>5.</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地块住宅公寓项目施工现场地下室成蚊密度较高</t>
    </r>
  </si>
  <si>
    <r>
      <t>6.</t>
    </r>
    <r>
      <rPr>
        <sz val="12"/>
        <color rgb="FF000000"/>
        <rFont val="宋体"/>
        <charset val="134"/>
      </rPr>
      <t>大唐三亚总部基地</t>
    </r>
    <r>
      <rPr>
        <sz val="12"/>
        <color rgb="FF000000"/>
        <rFont val="Times New Roman"/>
        <charset val="134"/>
      </rPr>
      <t>YGHA06-03-06</t>
    </r>
    <r>
      <rPr>
        <sz val="12"/>
        <color rgb="FF000000"/>
        <rFont val="宋体"/>
        <charset val="134"/>
      </rPr>
      <t>、</t>
    </r>
    <r>
      <rPr>
        <sz val="12"/>
        <color rgb="FF000000"/>
        <rFont val="Times New Roman"/>
        <charset val="134"/>
      </rPr>
      <t>07</t>
    </r>
    <r>
      <rPr>
        <sz val="12"/>
        <color rgb="FF000000"/>
        <rFont val="宋体"/>
        <charset val="134"/>
      </rPr>
      <t>、</t>
    </r>
    <r>
      <rPr>
        <sz val="12"/>
        <color rgb="FF000000"/>
        <rFont val="Times New Roman"/>
        <charset val="134"/>
      </rPr>
      <t>08</t>
    </r>
    <r>
      <rPr>
        <sz val="12"/>
        <color rgb="FF000000"/>
        <rFont val="宋体"/>
        <charset val="134"/>
      </rPr>
      <t>地块住宅公寓项目未签订病媒生物消杀服务合同，消杀施工记录表不规范（无药剂浓度配比、用药总量、作业面积等）</t>
    </r>
  </si>
  <si>
    <r>
      <rPr>
        <sz val="12"/>
        <color rgb="FF000000"/>
        <rFont val="宋体"/>
        <charset val="134"/>
      </rPr>
      <t>五十五、大唐三亚总部基地办公楼项目</t>
    </r>
  </si>
  <si>
    <r>
      <t>1.</t>
    </r>
    <r>
      <rPr>
        <sz val="12"/>
        <color rgb="FF000000"/>
        <rFont val="宋体"/>
        <charset val="134"/>
      </rPr>
      <t>大唐三亚总部基地办公楼项目人员进退场登记台账不完善，缺少人员进场具体时间、退场销号时间</t>
    </r>
  </si>
  <si>
    <r>
      <t>2.</t>
    </r>
    <r>
      <rPr>
        <sz val="12"/>
        <color rgb="FF000000"/>
        <rFont val="宋体"/>
        <charset val="134"/>
      </rPr>
      <t>大唐三亚总部基地办公楼项目消杀施工记录表不规范（无使用药剂、药剂浓度配比、用药总量、消杀作业内容、作业面积等）</t>
    </r>
  </si>
  <si>
    <r>
      <t>3.</t>
    </r>
    <r>
      <rPr>
        <sz val="12"/>
        <color rgb="FF000000"/>
        <rFont val="宋体"/>
        <charset val="134"/>
      </rPr>
      <t>大唐三亚总部基地办公楼项目工人生活区发现阳性积水</t>
    </r>
  </si>
  <si>
    <r>
      <t>4.</t>
    </r>
    <r>
      <rPr>
        <sz val="12"/>
        <color rgb="FF000000"/>
        <rFont val="宋体"/>
        <charset val="134"/>
      </rPr>
      <t>大唐三亚总部基地办公楼项目工人生活区发现阳性积水</t>
    </r>
  </si>
  <si>
    <r>
      <t>5.</t>
    </r>
    <r>
      <rPr>
        <sz val="12"/>
        <color rgb="FF000000"/>
        <rFont val="宋体"/>
        <charset val="134"/>
      </rPr>
      <t>大唐三亚总部基地办公楼项目施工现场地下室发现阳性积水</t>
    </r>
  </si>
  <si>
    <r>
      <rPr>
        <sz val="12"/>
        <color rgb="FF000000"/>
        <rFont val="宋体"/>
        <charset val="134"/>
      </rPr>
      <t>五十六、三亚凤凰水城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t>
    </r>
  </si>
  <si>
    <r>
      <t>1.</t>
    </r>
    <r>
      <rPr>
        <sz val="12"/>
        <color rgb="FF000000"/>
        <rFont val="宋体"/>
        <charset val="134"/>
      </rPr>
      <t>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组团一期消杀施工记录表不规范（无药剂浓度配比、用药总量、消杀作业内容、作业面积等）</t>
    </r>
  </si>
  <si>
    <r>
      <t>2.</t>
    </r>
    <r>
      <rPr>
        <sz val="12"/>
        <color rgb="FF000000"/>
        <rFont val="宋体"/>
        <charset val="134"/>
      </rPr>
      <t>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组团一期人员进退场登记台账不完善，缺少人员进场具体时间、退场销号时间</t>
    </r>
  </si>
  <si>
    <r>
      <t>3.</t>
    </r>
    <r>
      <rPr>
        <sz val="12"/>
        <color rgb="FF000000"/>
        <rFont val="宋体"/>
        <charset val="134"/>
      </rPr>
      <t>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组团一期施工现场地下室发现阳性积水</t>
    </r>
  </si>
  <si>
    <r>
      <t>4.</t>
    </r>
    <r>
      <rPr>
        <sz val="12"/>
        <color rgb="FF000000"/>
        <rFont val="宋体"/>
        <charset val="134"/>
      </rPr>
      <t>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组团一期施工现场地下室发现阳性积水</t>
    </r>
  </si>
  <si>
    <r>
      <t>5.</t>
    </r>
    <r>
      <rPr>
        <sz val="12"/>
        <color rgb="FF000000"/>
        <rFont val="宋体"/>
        <charset val="134"/>
      </rPr>
      <t>三亚凤凰水城</t>
    </r>
    <r>
      <rPr>
        <sz val="12"/>
        <color rgb="FF000000"/>
        <rFont val="Times New Roman"/>
        <charset val="134"/>
      </rPr>
      <t>D</t>
    </r>
    <r>
      <rPr>
        <sz val="12"/>
        <color rgb="FF000000"/>
        <rFont val="宋体"/>
        <charset val="134"/>
      </rPr>
      <t>区项目三期（</t>
    </r>
    <r>
      <rPr>
        <sz val="12"/>
        <color rgb="FF000000"/>
        <rFont val="Times New Roman"/>
        <charset val="134"/>
      </rPr>
      <t>D-02</t>
    </r>
    <r>
      <rPr>
        <sz val="12"/>
        <color rgb="FF000000"/>
        <rFont val="宋体"/>
        <charset val="134"/>
      </rPr>
      <t>地块）</t>
    </r>
    <r>
      <rPr>
        <sz val="12"/>
        <color rgb="FF000000"/>
        <rFont val="Times New Roman"/>
        <charset val="134"/>
      </rPr>
      <t>B</t>
    </r>
    <r>
      <rPr>
        <sz val="12"/>
        <color rgb="FF000000"/>
        <rFont val="宋体"/>
        <charset val="134"/>
      </rPr>
      <t>组团一期施工现场地下室发现阳性积水</t>
    </r>
  </si>
  <si>
    <r>
      <rPr>
        <sz val="12"/>
        <color rgb="FF000000"/>
        <rFont val="宋体"/>
        <charset val="134"/>
      </rPr>
      <t>五十七、三亚环投布草洗涤园项目一期</t>
    </r>
  </si>
  <si>
    <r>
      <t>1.</t>
    </r>
    <r>
      <rPr>
        <sz val="12"/>
        <color rgb="FF000000"/>
        <rFont val="宋体"/>
        <charset val="134"/>
      </rPr>
      <t>三亚环投布草洗涤园项目一期项目部发现阳性积水</t>
    </r>
  </si>
  <si>
    <r>
      <t>2.</t>
    </r>
    <r>
      <rPr>
        <sz val="12"/>
        <color rgb="FF000000"/>
        <rFont val="宋体"/>
        <charset val="134"/>
      </rPr>
      <t>三亚环投布草洗涤园项目一期项目部发现阳性积水</t>
    </r>
  </si>
  <si>
    <r>
      <t>3.</t>
    </r>
    <r>
      <rPr>
        <sz val="12"/>
        <color rgb="FF000000"/>
        <rFont val="宋体"/>
        <charset val="134"/>
      </rPr>
      <t>三亚环投布草洗涤园项目一期人员进退场登记台账不完善，缺少人员进场具体时间、退场销号时间</t>
    </r>
  </si>
  <si>
    <r>
      <t>4.</t>
    </r>
    <r>
      <rPr>
        <sz val="12"/>
        <color rgb="FF000000"/>
        <rFont val="宋体"/>
        <charset val="134"/>
      </rPr>
      <t>三亚环投布草洗涤园项目一期消杀施工记录表不规范（无使用药剂、药剂浓度配比、用药总量、消杀作业内容、作业面积等）</t>
    </r>
  </si>
  <si>
    <r>
      <t>5.</t>
    </r>
    <r>
      <rPr>
        <sz val="12"/>
        <color rgb="FF000000"/>
        <rFont val="宋体"/>
        <charset val="134"/>
      </rPr>
      <t>三亚环投布草洗涤园项目一期工人生活区防蚊措施落实不到位</t>
    </r>
  </si>
  <si>
    <r>
      <rPr>
        <sz val="12"/>
        <color rgb="FF000000"/>
        <rFont val="宋体"/>
        <charset val="134"/>
      </rPr>
      <t>五十八、三亚崖州湾科技城综合物流园棚改安置区项目</t>
    </r>
  </si>
  <si>
    <r>
      <t>1.</t>
    </r>
    <r>
      <rPr>
        <sz val="12"/>
        <color rgb="FF000000"/>
        <rFont val="宋体"/>
        <charset val="134"/>
      </rPr>
      <t>三亚崖州湾科技城综合物流园棚改安置区项目施工现场地下室发现阳性积水（已现场整改）</t>
    </r>
  </si>
  <si>
    <r>
      <t>2.</t>
    </r>
    <r>
      <rPr>
        <sz val="12"/>
        <color rgb="FF000000"/>
        <rFont val="宋体"/>
        <charset val="134"/>
      </rPr>
      <t>三亚崖州湾科技城综合物流园棚改安置区项目施工现场地下室发现阳性积水（已现场整改）</t>
    </r>
  </si>
  <si>
    <r>
      <rPr>
        <sz val="12"/>
        <color rgb="FF000000"/>
        <rFont val="宋体"/>
        <charset val="134"/>
      </rPr>
      <t>五十九、三亚国际邮件快件跨境电商物流监管中心及配套物流仓储项目</t>
    </r>
  </si>
  <si>
    <r>
      <t>1.</t>
    </r>
    <r>
      <rPr>
        <sz val="12"/>
        <color rgb="FF000000"/>
        <rFont val="宋体"/>
        <charset val="134"/>
      </rPr>
      <t>三亚国际邮件快件跨境电商物流监管中心及配套物流仓储项目（二期）消杀施工记录表不规范（无使用药剂、药剂浓度配比、用药总量、消杀作业内容、作业面积等）</t>
    </r>
  </si>
  <si>
    <r>
      <rPr>
        <sz val="12"/>
        <color rgb="FF000000"/>
        <rFont val="宋体"/>
        <charset val="134"/>
      </rPr>
      <t>六十、三亚凤凰国际机场三期改扩建项目人行道桥工程</t>
    </r>
  </si>
  <si>
    <r>
      <t>1.</t>
    </r>
    <r>
      <rPr>
        <sz val="12"/>
        <color rgb="FF000000"/>
        <rFont val="宋体"/>
        <charset val="134"/>
      </rPr>
      <t>三亚凤凰国际机场三期改扩建项目人行道桥工程消杀施工记录表不规范（无药剂浓度配比、用药总量、消杀作业内容、作业面积等）（已整改）</t>
    </r>
  </si>
  <si>
    <r>
      <rPr>
        <sz val="12"/>
        <color rgb="FF000000"/>
        <rFont val="宋体"/>
        <charset val="134"/>
      </rPr>
      <t>六十一、总台三亚项目主楼、专家楼屋顶及地面修缮工程</t>
    </r>
  </si>
  <si>
    <r>
      <t>1.</t>
    </r>
    <r>
      <rPr>
        <sz val="12"/>
        <color rgb="FF000000"/>
        <rFont val="宋体"/>
        <charset val="134"/>
      </rPr>
      <t>总台三亚项目主楼、专家楼屋顶及地面修缮工程消杀施工记录表不规范（无作业面积，建议手写）</t>
    </r>
  </si>
  <si>
    <r>
      <rPr>
        <sz val="12"/>
        <color rgb="FF000000"/>
        <rFont val="宋体"/>
        <charset val="134"/>
      </rPr>
      <t>六十二、三亚市南岛学校工程项目</t>
    </r>
  </si>
  <si>
    <r>
      <t>1.</t>
    </r>
    <r>
      <rPr>
        <sz val="12"/>
        <color rgb="FF000000"/>
        <rFont val="宋体"/>
        <charset val="134"/>
      </rPr>
      <t>三亚市南岛学校工程项目施工现场院内发现阳性积水</t>
    </r>
  </si>
  <si>
    <r>
      <t>2.</t>
    </r>
    <r>
      <rPr>
        <sz val="12"/>
        <color rgb="FF000000"/>
        <rFont val="宋体"/>
        <charset val="134"/>
      </rPr>
      <t>三亚市南岛学校工程项目消杀施工记录表不规范（无使用药剂、药剂浓度配比、用药总量、消杀作业内容、作业面积等）</t>
    </r>
  </si>
  <si>
    <r>
      <rPr>
        <sz val="12"/>
        <color rgb="FF000000"/>
        <rFont val="宋体"/>
        <charset val="134"/>
      </rPr>
      <t>六十三、三亚遥感信息产业园片区路网项目</t>
    </r>
  </si>
  <si>
    <r>
      <t>1.</t>
    </r>
    <r>
      <rPr>
        <sz val="12"/>
        <color rgb="FF000000"/>
        <rFont val="宋体"/>
        <charset val="134"/>
      </rPr>
      <t>三亚遥感信息产业园片区路网项目项目部发现阳性积水</t>
    </r>
  </si>
  <si>
    <r>
      <t>2.</t>
    </r>
    <r>
      <rPr>
        <sz val="12"/>
        <color rgb="FF000000"/>
        <rFont val="宋体"/>
        <charset val="134"/>
      </rPr>
      <t>三亚遥感信息产业园片区路网项目项目部发现阳性积水</t>
    </r>
  </si>
  <si>
    <r>
      <t>3.</t>
    </r>
    <r>
      <rPr>
        <sz val="12"/>
        <color rgb="FF000000"/>
        <rFont val="宋体"/>
        <charset val="134"/>
      </rPr>
      <t>三亚遥感信息产业园片区路网项目消杀施工记录表不规范（无使用药剂、药剂浓度配比、用药总量、消杀作业内容、作业面积等）</t>
    </r>
  </si>
  <si>
    <r>
      <rPr>
        <sz val="12"/>
        <color rgb="FF000000"/>
        <rFont val="宋体"/>
        <charset val="134"/>
      </rPr>
      <t>六十四、三亚市天涯中学（三期）新建工程项目</t>
    </r>
  </si>
  <si>
    <r>
      <t>1.</t>
    </r>
    <r>
      <rPr>
        <sz val="12"/>
        <color rgb="FF000000"/>
        <rFont val="宋体"/>
        <charset val="134"/>
      </rPr>
      <t>三亚市天涯中学（三期）新建工程项目消杀施工记录表不规范（无药剂浓度配比、作业面积等）</t>
    </r>
  </si>
  <si>
    <r>
      <t>2.</t>
    </r>
    <r>
      <rPr>
        <sz val="12"/>
        <color rgb="FF000000"/>
        <rFont val="宋体"/>
        <charset val="134"/>
      </rPr>
      <t>三亚市天涯中学（三期）新建工程项目工人生活区防蚊措施落实不到位</t>
    </r>
  </si>
  <si>
    <r>
      <t>3.</t>
    </r>
    <r>
      <rPr>
        <sz val="12"/>
        <color rgb="FF000000"/>
        <rFont val="宋体"/>
        <charset val="134"/>
      </rPr>
      <t>三亚市天涯中学（三期）新建工程项目施工现场地下室发现阳性积水</t>
    </r>
  </si>
  <si>
    <r>
      <t>4.</t>
    </r>
    <r>
      <rPr>
        <sz val="12"/>
        <color rgb="FF000000"/>
        <rFont val="宋体"/>
        <charset val="134"/>
      </rPr>
      <t>三亚市天涯中学（三期）新建工程项目施工现场地下室发现阳性积水</t>
    </r>
  </si>
  <si>
    <r>
      <t>5.</t>
    </r>
    <r>
      <rPr>
        <sz val="12"/>
        <color rgb="FF000000"/>
        <rFont val="宋体"/>
        <charset val="134"/>
      </rPr>
      <t>三亚市天涯中学（三期）新建工程项目施工现场院内发现阳性积水</t>
    </r>
  </si>
  <si>
    <r>
      <rPr>
        <sz val="12"/>
        <color rgb="FF000000"/>
        <rFont val="宋体"/>
        <charset val="134"/>
      </rPr>
      <t>六十五、三亚杜威国际学校二期</t>
    </r>
  </si>
  <si>
    <r>
      <t>1.</t>
    </r>
    <r>
      <rPr>
        <sz val="12"/>
        <color rgb="FF000000"/>
        <rFont val="宋体"/>
        <charset val="134"/>
      </rPr>
      <t>三亚杜威国际学校二期消杀施工记录表不规范（无药剂浓度配比、用药总量、作业面积等），消杀服务合同过期</t>
    </r>
  </si>
  <si>
    <r>
      <rPr>
        <sz val="12"/>
        <color rgb="FF000000"/>
        <rFont val="宋体"/>
        <charset val="134"/>
      </rPr>
      <t>六十六、华润海棠湾</t>
    </r>
    <r>
      <rPr>
        <sz val="12"/>
        <color rgb="FF000000"/>
        <rFont val="Times New Roman"/>
        <charset val="134"/>
      </rPr>
      <t>·</t>
    </r>
    <r>
      <rPr>
        <sz val="12"/>
        <color rgb="FF000000"/>
        <rFont val="宋体"/>
        <charset val="134"/>
      </rPr>
      <t>澐麗（一标段）</t>
    </r>
  </si>
  <si>
    <r>
      <t>1.</t>
    </r>
    <r>
      <rPr>
        <sz val="12"/>
        <color rgb="FF000000"/>
        <rFont val="宋体"/>
        <charset val="134"/>
      </rPr>
      <t>华润海棠湾</t>
    </r>
    <r>
      <rPr>
        <sz val="12"/>
        <color rgb="FF000000"/>
        <rFont val="Times New Roman"/>
        <charset val="134"/>
      </rPr>
      <t>·</t>
    </r>
    <r>
      <rPr>
        <sz val="12"/>
        <color rgb="FF000000"/>
        <rFont val="宋体"/>
        <charset val="134"/>
      </rPr>
      <t>澐麗（一标段）工人生活区防蚊措施落实不到位</t>
    </r>
  </si>
  <si>
    <r>
      <t>2.</t>
    </r>
    <r>
      <rPr>
        <sz val="12"/>
        <color rgb="FF000000"/>
        <rFont val="宋体"/>
        <charset val="134"/>
      </rPr>
      <t>华润海棠湾</t>
    </r>
    <r>
      <rPr>
        <sz val="12"/>
        <color rgb="FF000000"/>
        <rFont val="Times New Roman"/>
        <charset val="134"/>
      </rPr>
      <t>·</t>
    </r>
    <r>
      <rPr>
        <sz val="12"/>
        <color rgb="FF000000"/>
        <rFont val="宋体"/>
        <charset val="134"/>
      </rPr>
      <t>澐麗（一标段）消杀施工记录表不规范（无用药总量、消杀作业内容、作业面积等）</t>
    </r>
  </si>
  <si>
    <r>
      <t>3.</t>
    </r>
    <r>
      <rPr>
        <sz val="12"/>
        <color rgb="FF000000"/>
        <rFont val="宋体"/>
        <charset val="134"/>
      </rPr>
      <t>华润海棠湾</t>
    </r>
    <r>
      <rPr>
        <sz val="12"/>
        <color rgb="FF000000"/>
        <rFont val="Times New Roman"/>
        <charset val="134"/>
      </rPr>
      <t>·</t>
    </r>
    <r>
      <rPr>
        <sz val="12"/>
        <color rgb="FF000000"/>
        <rFont val="宋体"/>
        <charset val="134"/>
      </rPr>
      <t>澐麗（一标段）施工现场地下室发现阳性积水</t>
    </r>
  </si>
  <si>
    <r>
      <t>4.</t>
    </r>
    <r>
      <rPr>
        <sz val="12"/>
        <color rgb="FF000000"/>
        <rFont val="宋体"/>
        <charset val="134"/>
      </rPr>
      <t>华润海棠湾</t>
    </r>
    <r>
      <rPr>
        <sz val="12"/>
        <color rgb="FF000000"/>
        <rFont val="Times New Roman"/>
        <charset val="134"/>
      </rPr>
      <t>·</t>
    </r>
    <r>
      <rPr>
        <sz val="12"/>
        <color rgb="FF000000"/>
        <rFont val="宋体"/>
        <charset val="134"/>
      </rPr>
      <t>澐麗（一标段）施工现场地下室发现阳性积水</t>
    </r>
  </si>
  <si>
    <r>
      <t>5.</t>
    </r>
    <r>
      <rPr>
        <sz val="12"/>
        <color rgb="FF000000"/>
        <rFont val="宋体"/>
        <charset val="134"/>
      </rPr>
      <t>华润海棠湾</t>
    </r>
    <r>
      <rPr>
        <sz val="12"/>
        <color rgb="FF000000"/>
        <rFont val="Times New Roman"/>
        <charset val="134"/>
      </rPr>
      <t>·</t>
    </r>
    <r>
      <rPr>
        <sz val="12"/>
        <color rgb="FF000000"/>
        <rFont val="宋体"/>
        <charset val="134"/>
      </rPr>
      <t>澐麗（一标段）施工现场地下室发现阳性积水</t>
    </r>
  </si>
  <si>
    <r>
      <rPr>
        <sz val="12"/>
        <color rgb="FF000000"/>
        <rFont val="宋体"/>
        <charset val="134"/>
      </rPr>
      <t>六十七、三亚海棠湾</t>
    </r>
    <r>
      <rPr>
        <sz val="12"/>
        <color rgb="FF000000"/>
        <rFont val="Times New Roman"/>
        <charset val="134"/>
      </rPr>
      <t>HT06-14-03</t>
    </r>
    <r>
      <rPr>
        <sz val="12"/>
        <color rgb="FF000000"/>
        <rFont val="宋体"/>
        <charset val="134"/>
      </rPr>
      <t>地块（商品住宅）项目</t>
    </r>
  </si>
  <si>
    <r>
      <t>1.</t>
    </r>
    <r>
      <rPr>
        <sz val="12"/>
        <color rgb="FF000000"/>
        <rFont val="宋体"/>
        <charset val="134"/>
      </rPr>
      <t>三亚海棠湾</t>
    </r>
    <r>
      <rPr>
        <sz val="12"/>
        <color rgb="FF000000"/>
        <rFont val="Times New Roman"/>
        <charset val="134"/>
      </rPr>
      <t>HT06-14-03</t>
    </r>
    <r>
      <rPr>
        <sz val="12"/>
        <color rgb="FF000000"/>
        <rFont val="宋体"/>
        <charset val="134"/>
      </rPr>
      <t>地块（商品住宅）项目施工现场地下室发现多处阳性积水（已整改）</t>
    </r>
  </si>
  <si>
    <r>
      <t>2.</t>
    </r>
    <r>
      <rPr>
        <sz val="12"/>
        <color rgb="FF000000"/>
        <rFont val="宋体"/>
        <charset val="134"/>
      </rPr>
      <t>三亚海棠湾</t>
    </r>
    <r>
      <rPr>
        <sz val="12"/>
        <color rgb="FF000000"/>
        <rFont val="Times New Roman"/>
        <charset val="134"/>
      </rPr>
      <t>HT06-14-03</t>
    </r>
    <r>
      <rPr>
        <sz val="12"/>
        <color rgb="FF000000"/>
        <rFont val="宋体"/>
        <charset val="134"/>
      </rPr>
      <t>地块（商品住宅）项目工人生活区防蚊措施落实不到位（已整改，悬挂灭蚊灯）</t>
    </r>
  </si>
  <si>
    <r>
      <rPr>
        <sz val="12"/>
        <color rgb="FF000000"/>
        <rFont val="宋体"/>
        <charset val="134"/>
      </rPr>
      <t>六十八、三亚海棠湾金凤凰海岸珠宝城项目商业地块一标段</t>
    </r>
  </si>
  <si>
    <r>
      <t>1.</t>
    </r>
    <r>
      <rPr>
        <sz val="12"/>
        <color rgb="FF000000"/>
        <rFont val="宋体"/>
        <charset val="134"/>
      </rPr>
      <t>三亚海棠湾金凤凰海岸珠宝城项目商业地块一标段施工现场地下室发现阳性积水（已整改）</t>
    </r>
  </si>
  <si>
    <r>
      <t>2.</t>
    </r>
    <r>
      <rPr>
        <sz val="12"/>
        <color rgb="FF000000"/>
        <rFont val="宋体"/>
        <charset val="134"/>
      </rPr>
      <t>三亚海棠湾金凤凰海岸珠宝城项目商业地块一标段施工现场地下室发现阳性积水（已整改）</t>
    </r>
  </si>
  <si>
    <r>
      <t>3.</t>
    </r>
    <r>
      <rPr>
        <sz val="12"/>
        <color rgb="FF000000"/>
        <rFont val="宋体"/>
        <charset val="134"/>
      </rPr>
      <t>三亚海棠湾金凤凰海岸珠宝城项目商业地块一标段病媒生物消杀服务合同签约单位，与现场消杀作业、台账记录盖章单位不属于同一家公司</t>
    </r>
  </si>
  <si>
    <r>
      <rPr>
        <sz val="12"/>
        <color rgb="FF000000"/>
        <rFont val="宋体"/>
        <charset val="134"/>
      </rPr>
      <t>六十九、三亚市海棠湾洪风片区危旧房改造（安居工程）项目（二期）</t>
    </r>
  </si>
  <si>
    <r>
      <t>1.</t>
    </r>
    <r>
      <rPr>
        <sz val="12"/>
        <color rgb="FF000000"/>
        <rFont val="宋体"/>
        <charset val="134"/>
      </rPr>
      <t>三亚市海棠湾洪风片区危旧房改造（安居工程）项目（二期）工人生活区发现阳性积水</t>
    </r>
  </si>
  <si>
    <r>
      <t>2.</t>
    </r>
    <r>
      <rPr>
        <sz val="12"/>
        <color rgb="FF000000"/>
        <rFont val="宋体"/>
        <charset val="134"/>
      </rPr>
      <t>三亚市海棠湾洪风片区危旧房改造（安居工程）项目（二期）工人生活区发现阳性积水</t>
    </r>
  </si>
  <si>
    <r>
      <t>3.</t>
    </r>
    <r>
      <rPr>
        <sz val="12"/>
        <color rgb="FF000000"/>
        <rFont val="宋体"/>
        <charset val="134"/>
      </rPr>
      <t>三亚市海棠湾洪风片区危旧房改造（安居工程）项目（二期）工人生活区发现阳性积水</t>
    </r>
  </si>
  <si>
    <r>
      <t>4.</t>
    </r>
    <r>
      <rPr>
        <sz val="12"/>
        <color rgb="FF000000"/>
        <rFont val="宋体"/>
        <charset val="134"/>
      </rPr>
      <t>三亚市海棠湾洪风片区危旧房改造（安居工程）项目（二期）工人生活区防蚊措施落实不到位</t>
    </r>
  </si>
  <si>
    <r>
      <t>5.</t>
    </r>
    <r>
      <rPr>
        <sz val="12"/>
        <color rgb="FF000000"/>
        <rFont val="宋体"/>
        <charset val="134"/>
      </rPr>
      <t>三亚市海棠湾洪风片区危旧房改造（安居工程）项目（二期）消杀施工记录表不规范（无药剂浓度配比、用药总量、作业面积等）</t>
    </r>
  </si>
  <si>
    <r>
      <t>6.</t>
    </r>
    <r>
      <rPr>
        <sz val="12"/>
        <color rgb="FF000000"/>
        <rFont val="宋体"/>
        <charset val="134"/>
      </rPr>
      <t>三亚市海棠湾洪风片区危旧房改造（安居工程）项目（二期）人员进退场登记台账不完善，缺少人员退场销号时间</t>
    </r>
  </si>
  <si>
    <r>
      <rPr>
        <sz val="12"/>
        <color rgb="FF000000"/>
        <rFont val="宋体"/>
        <charset val="134"/>
      </rPr>
      <t>七十、海南经济特区京东健康综合门诊部有限公司室内装饰工程</t>
    </r>
  </si>
  <si>
    <r>
      <t>1.</t>
    </r>
    <r>
      <rPr>
        <sz val="12"/>
        <color rgb="FF000000"/>
        <rFont val="宋体"/>
        <charset val="134"/>
      </rPr>
      <t>海南经济特区京东健康综合门诊部有限公司室内装饰工程消杀施工记录表不规范（无使用药剂、药剂浓度配比、用药总量、消杀作业内容、作业面积等），未见病媒生物防控专项方案</t>
    </r>
  </si>
  <si>
    <r>
      <rPr>
        <sz val="12"/>
        <color rgb="FF000000"/>
        <rFont val="宋体"/>
        <charset val="134"/>
      </rPr>
      <t>七十一、三亚市海棠湾</t>
    </r>
    <r>
      <rPr>
        <sz val="12"/>
        <color rgb="FF000000"/>
        <rFont val="Times New Roman"/>
        <charset val="134"/>
      </rPr>
      <t>5</t>
    </r>
    <r>
      <rPr>
        <sz val="12"/>
        <color rgb="FF000000"/>
        <rFont val="宋体"/>
        <charset val="134"/>
      </rPr>
      <t>号污水提升泵站工程</t>
    </r>
  </si>
  <si>
    <r>
      <t>1.</t>
    </r>
    <r>
      <rPr>
        <sz val="12"/>
        <color rgb="FF000000"/>
        <rFont val="宋体"/>
        <charset val="134"/>
      </rPr>
      <t>三亚市海棠湾</t>
    </r>
    <r>
      <rPr>
        <sz val="12"/>
        <color rgb="FF000000"/>
        <rFont val="Times New Roman"/>
        <charset val="134"/>
      </rPr>
      <t>5</t>
    </r>
    <r>
      <rPr>
        <sz val="12"/>
        <color rgb="FF000000"/>
        <rFont val="宋体"/>
        <charset val="134"/>
      </rPr>
      <t>号污水提升泵站工程消杀施工记录表不规范（无用药总量、作业面积等）</t>
    </r>
  </si>
  <si>
    <r>
      <rPr>
        <sz val="12"/>
        <color rgb="FF000000"/>
        <rFont val="宋体"/>
        <charset val="134"/>
      </rPr>
      <t>七十二、</t>
    </r>
    <r>
      <rPr>
        <sz val="12"/>
        <color rgb="FF000000"/>
        <rFont val="Times New Roman"/>
        <charset val="134"/>
      </rPr>
      <t>“</t>
    </r>
    <r>
      <rPr>
        <sz val="12"/>
        <color rgb="FF000000"/>
        <rFont val="宋体"/>
        <charset val="134"/>
      </rPr>
      <t>大三亚</t>
    </r>
    <r>
      <rPr>
        <sz val="12"/>
        <color rgb="FF000000"/>
        <rFont val="Times New Roman"/>
        <charset val="134"/>
      </rPr>
      <t>”120</t>
    </r>
    <r>
      <rPr>
        <sz val="12"/>
        <color rgb="FF000000"/>
        <rFont val="宋体"/>
        <charset val="134"/>
      </rPr>
      <t>急救体系建设项目（装修工程）</t>
    </r>
  </si>
  <si>
    <r>
      <t>1.“</t>
    </r>
    <r>
      <rPr>
        <sz val="12"/>
        <color rgb="FF000000"/>
        <rFont val="宋体"/>
        <charset val="134"/>
      </rPr>
      <t>大三亚</t>
    </r>
    <r>
      <rPr>
        <sz val="12"/>
        <color rgb="FF000000"/>
        <rFont val="Times New Roman"/>
        <charset val="134"/>
      </rPr>
      <t>”120</t>
    </r>
    <r>
      <rPr>
        <sz val="12"/>
        <color rgb="FF000000"/>
        <rFont val="宋体"/>
        <charset val="134"/>
      </rPr>
      <t>急救体系建设项目（装修工程）消防水泵房发现阳性积水</t>
    </r>
  </si>
  <si>
    <r>
      <t>2.“</t>
    </r>
    <r>
      <rPr>
        <sz val="12"/>
        <color rgb="FF000000"/>
        <rFont val="宋体"/>
        <charset val="134"/>
      </rPr>
      <t>大三亚</t>
    </r>
    <r>
      <rPr>
        <sz val="12"/>
        <color rgb="FF000000"/>
        <rFont val="Times New Roman"/>
        <charset val="134"/>
      </rPr>
      <t>”120</t>
    </r>
    <r>
      <rPr>
        <sz val="12"/>
        <color rgb="FF000000"/>
        <rFont val="宋体"/>
        <charset val="134"/>
      </rPr>
      <t>急救体系建设项目（装修工程）工人生活区防蚊措施落实不到位</t>
    </r>
  </si>
  <si>
    <r>
      <t>3.“</t>
    </r>
    <r>
      <rPr>
        <sz val="12"/>
        <color rgb="FF000000"/>
        <rFont val="宋体"/>
        <charset val="134"/>
      </rPr>
      <t>大三亚</t>
    </r>
    <r>
      <rPr>
        <sz val="12"/>
        <color rgb="FF000000"/>
        <rFont val="Times New Roman"/>
        <charset val="134"/>
      </rPr>
      <t>”120</t>
    </r>
    <r>
      <rPr>
        <sz val="12"/>
        <color rgb="FF000000"/>
        <rFont val="宋体"/>
        <charset val="134"/>
      </rPr>
      <t>急救体系建设项目（装修工程）消杀施工记录表不规范（无使用药剂、药剂浓度配比、用药总量、消杀作业内容、作业面积等）</t>
    </r>
  </si>
  <si>
    <r>
      <t>4.“</t>
    </r>
    <r>
      <rPr>
        <sz val="12"/>
        <color rgb="FF000000"/>
        <rFont val="宋体"/>
        <charset val="134"/>
      </rPr>
      <t>大三亚</t>
    </r>
    <r>
      <rPr>
        <sz val="12"/>
        <color rgb="FF000000"/>
        <rFont val="Times New Roman"/>
        <charset val="134"/>
      </rPr>
      <t>”120</t>
    </r>
    <r>
      <rPr>
        <sz val="12"/>
        <color rgb="FF000000"/>
        <rFont val="宋体"/>
        <charset val="134"/>
      </rPr>
      <t>急救体系建设项目（装修工程）人员进退场登记台账不完善，缺少人员退场销号时间</t>
    </r>
  </si>
  <si>
    <r>
      <rPr>
        <sz val="12"/>
        <color rgb="FF000000"/>
        <rFont val="宋体"/>
        <charset val="134"/>
      </rPr>
      <t>七十三、三亚国骅中医疗养院项目</t>
    </r>
  </si>
  <si>
    <r>
      <t>1.</t>
    </r>
    <r>
      <rPr>
        <sz val="12"/>
        <color rgb="FF000000"/>
        <rFont val="宋体"/>
        <charset val="134"/>
      </rPr>
      <t>三亚国骅中医疗养院项目施工现场地下室发现阳性积水（已整改）</t>
    </r>
  </si>
  <si>
    <r>
      <t>2.</t>
    </r>
    <r>
      <rPr>
        <sz val="12"/>
        <color rgb="FF000000"/>
        <rFont val="宋体"/>
        <charset val="134"/>
      </rPr>
      <t>三亚国骅中医疗养院项目施工现场地下室发现阳性积水（已整改）</t>
    </r>
  </si>
  <si>
    <r>
      <t>3.</t>
    </r>
    <r>
      <rPr>
        <sz val="12"/>
        <color rgb="FF000000"/>
        <rFont val="宋体"/>
        <charset val="134"/>
      </rPr>
      <t>三亚国骅中医疗养院项目施工现场地下室发现阳性积水（已整改）</t>
    </r>
  </si>
  <si>
    <r>
      <t>4.</t>
    </r>
    <r>
      <rPr>
        <sz val="12"/>
        <color rgb="FF000000"/>
        <rFont val="宋体"/>
        <charset val="134"/>
      </rPr>
      <t>三亚国骅中医疗养院项目施工现场地下室发现阳性积水（已整改）</t>
    </r>
  </si>
  <si>
    <r>
      <t>5.</t>
    </r>
    <r>
      <rPr>
        <sz val="12"/>
        <color rgb="FF000000"/>
        <rFont val="宋体"/>
        <charset val="134"/>
      </rPr>
      <t>三亚国骅中医疗养院项目工人生活区防蚊措施落实不到位</t>
    </r>
  </si>
  <si>
    <r>
      <t>6.</t>
    </r>
    <r>
      <rPr>
        <sz val="12"/>
        <color rgb="FF000000"/>
        <rFont val="宋体"/>
        <charset val="134"/>
      </rPr>
      <t>三亚国骅中医疗养院项目消杀施工记录表不规范（无使用药剂、药剂浓度配比、用药总量、作业面积等）</t>
    </r>
  </si>
  <si>
    <r>
      <t>7.</t>
    </r>
    <r>
      <rPr>
        <sz val="12"/>
        <color rgb="FF000000"/>
        <rFont val="宋体"/>
        <charset val="134"/>
      </rPr>
      <t>三亚国骅中医疗养院项目人员进退场登记台账不完善，缺少人员进场具体时间、退场销号时间</t>
    </r>
  </si>
  <si>
    <r>
      <rPr>
        <sz val="12"/>
        <color rgb="FF000000"/>
        <rFont val="宋体"/>
        <charset val="134"/>
      </rPr>
      <t>七十四、蜈支洲码头游客中心项目</t>
    </r>
  </si>
  <si>
    <r>
      <t>1.</t>
    </r>
    <r>
      <rPr>
        <sz val="12"/>
        <color rgb="FF000000"/>
        <rFont val="宋体"/>
        <charset val="134"/>
      </rPr>
      <t>蜈支洲码头游客中心项目消杀施工记录表不规范（无药剂浓度配比、用药总量、消杀作业内容、作业面积等）（已整改）</t>
    </r>
  </si>
  <si>
    <r>
      <rPr>
        <sz val="12"/>
        <color rgb="FF000000"/>
        <rFont val="宋体"/>
        <charset val="134"/>
      </rPr>
      <t>七十五、庄大路慢行系统改造提升项目</t>
    </r>
  </si>
  <si>
    <r>
      <t>1.</t>
    </r>
    <r>
      <rPr>
        <sz val="12"/>
        <color rgb="FF000000"/>
        <rFont val="宋体"/>
        <charset val="134"/>
      </rPr>
      <t>庄大路慢行系统改造提升项目消杀施工记录表不规范（无药剂浓度配比、用药总量、消杀作业内容、作业面积等）</t>
    </r>
  </si>
  <si>
    <r>
      <rPr>
        <sz val="12"/>
        <color rgb="FF000000"/>
        <rFont val="宋体"/>
        <charset val="134"/>
      </rPr>
      <t>七十六、三亚市海棠湾建筑垃圾资源化利用厂项目（二期）</t>
    </r>
  </si>
  <si>
    <r>
      <t>1.</t>
    </r>
    <r>
      <rPr>
        <sz val="12"/>
        <color rgb="FF000000"/>
        <rFont val="宋体"/>
        <charset val="134"/>
      </rPr>
      <t>三亚市海棠湾建筑垃圾资源化利用厂项目（二期）消杀施工记录表不规范（无药剂浓度配比、用药总量、作业面积等）</t>
    </r>
  </si>
  <si>
    <r>
      <t>2.</t>
    </r>
    <r>
      <rPr>
        <sz val="12"/>
        <color rgb="FF000000"/>
        <rFont val="宋体"/>
        <charset val="134"/>
      </rPr>
      <t>三亚市海棠湾建筑垃圾资源化利用厂项目（二期）灭蚊灯悬挂不规范（已整改）</t>
    </r>
  </si>
  <si>
    <r>
      <rPr>
        <sz val="12"/>
        <color rgb="FF000000"/>
        <rFont val="宋体"/>
        <charset val="134"/>
      </rPr>
      <t>七十七、国家杂交水稻工程技术研究中心三亚南繁综合试验基地建设项目（二期）</t>
    </r>
  </si>
  <si>
    <r>
      <t>1.</t>
    </r>
    <r>
      <rPr>
        <sz val="12"/>
        <color rgb="FF000000"/>
        <rFont val="宋体"/>
        <charset val="134"/>
      </rPr>
      <t>国家杂交水稻工程技术研究中心三亚南繁综合试验基地建设项目（二期）消杀记录表不完善（无药品使用量、浓度配比、消杀面积等）</t>
    </r>
  </si>
  <si>
    <r>
      <t>2.</t>
    </r>
    <r>
      <rPr>
        <sz val="12"/>
        <color rgb="FF000000"/>
        <rFont val="宋体"/>
        <charset val="134"/>
      </rPr>
      <t>国家杂交水稻工程技术研究中心三亚南繁综合试验基地建设项目（二期）办公室左侧发现阳性积水</t>
    </r>
  </si>
  <si>
    <r>
      <t>3.</t>
    </r>
    <r>
      <rPr>
        <sz val="12"/>
        <color rgb="FF000000"/>
        <rFont val="宋体"/>
        <charset val="134"/>
      </rPr>
      <t>国家杂交水稻工程技术研究中心三亚南繁综合试验基地建设项目（二期）遮雨布发现阳性积水</t>
    </r>
  </si>
  <si>
    <r>
      <rPr>
        <sz val="12"/>
        <color rgb="FF000000"/>
        <rFont val="宋体"/>
        <charset val="134"/>
      </rPr>
      <t>七十八、三亚市海棠区重点社区基础设施配套工程</t>
    </r>
  </si>
  <si>
    <r>
      <t>1.</t>
    </r>
    <r>
      <rPr>
        <sz val="12"/>
        <color rgb="FF000000"/>
        <rFont val="宋体"/>
        <charset val="134"/>
      </rPr>
      <t>三亚市海棠区重点社区基础设施配套工程消杀记录表不完善（无药品使用量、浓度配比、消杀面积等）</t>
    </r>
  </si>
  <si>
    <r>
      <t>2.</t>
    </r>
    <r>
      <rPr>
        <sz val="12"/>
        <color rgb="FF000000"/>
        <rFont val="宋体"/>
        <charset val="134"/>
      </rPr>
      <t>三亚市海棠区重点社区基础设施配套工程防撞桶发现阳性积水</t>
    </r>
  </si>
  <si>
    <r>
      <rPr>
        <sz val="12"/>
        <color rgb="FF000000"/>
        <rFont val="宋体"/>
        <charset val="134"/>
      </rPr>
      <t>七十九、三亚海棠湾航空宣教中心</t>
    </r>
  </si>
  <si>
    <r>
      <t>1.</t>
    </r>
    <r>
      <rPr>
        <sz val="12"/>
        <color rgb="FF000000"/>
        <rFont val="宋体"/>
        <charset val="134"/>
      </rPr>
      <t>三亚海棠湾航空宣教中心电箱旁发现阳性积水，未见消杀台账</t>
    </r>
  </si>
  <si>
    <r>
      <t>2.</t>
    </r>
    <r>
      <rPr>
        <sz val="12"/>
        <color rgb="FF000000"/>
        <rFont val="宋体"/>
        <charset val="134"/>
      </rPr>
      <t>三亚海棠湾航空宣教中心施工现场发现阳性积水</t>
    </r>
  </si>
  <si>
    <r>
      <rPr>
        <sz val="12"/>
        <color rgb="FF000000"/>
        <rFont val="宋体"/>
        <charset val="134"/>
      </rPr>
      <t>八十、三亚市海棠湾</t>
    </r>
    <r>
      <rPr>
        <sz val="12"/>
        <color rgb="FF000000"/>
        <rFont val="Times New Roman"/>
        <charset val="134"/>
      </rPr>
      <t>HT03-09-03</t>
    </r>
    <r>
      <rPr>
        <sz val="12"/>
        <color rgb="FF000000"/>
        <rFont val="宋体"/>
        <charset val="134"/>
      </rPr>
      <t>地块项目（龙熙酒店）</t>
    </r>
  </si>
  <si>
    <r>
      <t>1.</t>
    </r>
    <r>
      <rPr>
        <sz val="12"/>
        <color rgb="FF000000"/>
        <rFont val="宋体"/>
        <charset val="134"/>
      </rPr>
      <t>三亚市海棠湾</t>
    </r>
    <r>
      <rPr>
        <sz val="12"/>
        <color rgb="FF000000"/>
        <rFont val="Times New Roman"/>
        <charset val="134"/>
      </rPr>
      <t>HT03-09-03</t>
    </r>
    <r>
      <rPr>
        <sz val="12"/>
        <color rgb="FF000000"/>
        <rFont val="宋体"/>
        <charset val="134"/>
      </rPr>
      <t>地块项目（龙熙酒店）消杀记录表不完善（无浓度配比、消杀面积等）</t>
    </r>
  </si>
  <si>
    <r>
      <rPr>
        <sz val="12"/>
        <color rgb="FF000000"/>
        <rFont val="宋体"/>
        <charset val="134"/>
      </rPr>
      <t>八十一、三亚智诚君澜度假酒店项目</t>
    </r>
  </si>
  <si>
    <r>
      <t>1.</t>
    </r>
    <r>
      <rPr>
        <sz val="12"/>
        <color rgb="FF000000"/>
        <rFont val="宋体"/>
        <charset val="134"/>
      </rPr>
      <t>三亚智诚君澜度假酒店项目部分宿舍未装蚊帐</t>
    </r>
  </si>
  <si>
    <r>
      <rPr>
        <sz val="12"/>
        <color rgb="FF000000"/>
        <rFont val="宋体"/>
        <charset val="134"/>
      </rPr>
      <t>八十二、无忧</t>
    </r>
    <r>
      <rPr>
        <sz val="12"/>
        <color rgb="FF000000"/>
        <rFont val="Times New Roman"/>
        <charset val="134"/>
      </rPr>
      <t>·</t>
    </r>
    <r>
      <rPr>
        <sz val="12"/>
        <color rgb="FF000000"/>
        <rFont val="宋体"/>
        <charset val="134"/>
      </rPr>
      <t>海棠序项目</t>
    </r>
  </si>
  <si>
    <r>
      <t>1.</t>
    </r>
    <r>
      <rPr>
        <sz val="12"/>
        <color rgb="FF000000"/>
        <rFont val="宋体"/>
        <charset val="134"/>
      </rPr>
      <t>无忧</t>
    </r>
    <r>
      <rPr>
        <sz val="12"/>
        <color rgb="FF000000"/>
        <rFont val="Times New Roman"/>
        <charset val="134"/>
      </rPr>
      <t>·</t>
    </r>
    <r>
      <rPr>
        <sz val="12"/>
        <color rgb="FF000000"/>
        <rFont val="宋体"/>
        <charset val="134"/>
      </rPr>
      <t>海棠序项目轮胎发现阳性积水</t>
    </r>
  </si>
  <si>
    <r>
      <t>2.</t>
    </r>
    <r>
      <rPr>
        <sz val="12"/>
        <color rgb="FF000000"/>
        <rFont val="宋体"/>
        <charset val="134"/>
      </rPr>
      <t>无忧</t>
    </r>
    <r>
      <rPr>
        <sz val="12"/>
        <color rgb="FF000000"/>
        <rFont val="Times New Roman"/>
        <charset val="134"/>
      </rPr>
      <t>·</t>
    </r>
    <r>
      <rPr>
        <sz val="12"/>
        <color rgb="FF000000"/>
        <rFont val="宋体"/>
        <charset val="134"/>
      </rPr>
      <t>海棠序项目施工现场发现阳性积水</t>
    </r>
  </si>
  <si>
    <r>
      <t>3.</t>
    </r>
    <r>
      <rPr>
        <sz val="12"/>
        <color rgb="FF000000"/>
        <rFont val="宋体"/>
        <charset val="134"/>
      </rPr>
      <t>无忧</t>
    </r>
    <r>
      <rPr>
        <sz val="12"/>
        <color rgb="FF000000"/>
        <rFont val="Times New Roman"/>
        <charset val="134"/>
      </rPr>
      <t>·</t>
    </r>
    <r>
      <rPr>
        <sz val="12"/>
        <color rgb="FF000000"/>
        <rFont val="宋体"/>
        <charset val="134"/>
      </rPr>
      <t>海棠序项目集水井发现阳性积水</t>
    </r>
  </si>
  <si>
    <r>
      <rPr>
        <sz val="12"/>
        <color rgb="FF000000"/>
        <rFont val="宋体"/>
        <charset val="134"/>
      </rPr>
      <t>八十三、三亚市海棠区雨污水管网错混接改造工程</t>
    </r>
  </si>
  <si>
    <r>
      <t>1.</t>
    </r>
    <r>
      <rPr>
        <sz val="12"/>
        <color rgb="FF000000"/>
        <rFont val="宋体"/>
        <charset val="134"/>
      </rPr>
      <t>三亚市海棠区雨污水管网错混接改造工程消杀记录表不完善（无浓度配比、消杀面积等）</t>
    </r>
  </si>
  <si>
    <r>
      <t>2.</t>
    </r>
    <r>
      <rPr>
        <sz val="12"/>
        <color rgb="FF000000"/>
        <rFont val="宋体"/>
        <charset val="134"/>
      </rPr>
      <t>三亚市海棠区雨污水管网错混接改造工程生活区发现阳性积水</t>
    </r>
  </si>
  <si>
    <r>
      <rPr>
        <sz val="12"/>
        <color rgb="FF000000"/>
        <rFont val="宋体"/>
        <charset val="134"/>
      </rPr>
      <t>八十四、三亚国际免税城一期二号地酒店项目</t>
    </r>
  </si>
  <si>
    <r>
      <t>1.</t>
    </r>
    <r>
      <rPr>
        <sz val="12"/>
        <color rgb="FF000000"/>
        <rFont val="宋体"/>
        <charset val="134"/>
      </rPr>
      <t>三亚国际免税城一期二号地酒店项目生活区发现阳性积水</t>
    </r>
  </si>
  <si>
    <r>
      <t>2.</t>
    </r>
    <r>
      <rPr>
        <sz val="12"/>
        <color rgb="FF000000"/>
        <rFont val="宋体"/>
        <charset val="134"/>
      </rPr>
      <t>三亚国际免税城一期二号地酒店项目生活区水盆发现阳性积水</t>
    </r>
  </si>
  <si>
    <r>
      <t>3.</t>
    </r>
    <r>
      <rPr>
        <sz val="12"/>
        <color rgb="FF000000"/>
        <rFont val="宋体"/>
        <charset val="134"/>
      </rPr>
      <t>三亚国际免税城一期二号地酒店项目地下室发现阳性积水</t>
    </r>
  </si>
  <si>
    <r>
      <t>4.</t>
    </r>
    <r>
      <rPr>
        <sz val="12"/>
        <color rgb="FF000000"/>
        <rFont val="宋体"/>
        <charset val="134"/>
      </rPr>
      <t>三亚国际免税城一期二号地酒店项目集水井旁发现阳性积水</t>
    </r>
  </si>
  <si>
    <r>
      <t>5.</t>
    </r>
    <r>
      <rPr>
        <sz val="12"/>
        <color rgb="FF000000"/>
        <rFont val="宋体"/>
        <charset val="134"/>
      </rPr>
      <t>三亚国际免税城一期二号地酒店项目消防栓发现阳性积水</t>
    </r>
  </si>
  <si>
    <r>
      <t>6.</t>
    </r>
    <r>
      <rPr>
        <sz val="12"/>
        <color rgb="FF000000"/>
        <rFont val="宋体"/>
        <charset val="134"/>
      </rPr>
      <t>三亚国际免税城一期二号地酒店项目水管口发现阳性积水</t>
    </r>
  </si>
  <si>
    <r>
      <t>7.</t>
    </r>
    <r>
      <rPr>
        <sz val="12"/>
        <color rgb="FF000000"/>
        <rFont val="宋体"/>
        <charset val="134"/>
      </rPr>
      <t>三亚国际免税城一期二号地酒店项目排水沟发现阳性积水</t>
    </r>
  </si>
  <si>
    <r>
      <t>8.</t>
    </r>
    <r>
      <rPr>
        <sz val="12"/>
        <color rgb="FF000000"/>
        <rFont val="宋体"/>
        <charset val="134"/>
      </rPr>
      <t>三亚国际免税城一期二号地酒店项目部分宿舍未装蚊帐</t>
    </r>
  </si>
  <si>
    <r>
      <rPr>
        <sz val="12"/>
        <color rgb="FF000000"/>
        <rFont val="宋体"/>
        <charset val="134"/>
      </rPr>
      <t>八十五、三亚国际免税城三期</t>
    </r>
  </si>
  <si>
    <r>
      <t>1.</t>
    </r>
    <r>
      <rPr>
        <sz val="12"/>
        <color rgb="FF000000"/>
        <rFont val="宋体"/>
        <charset val="134"/>
      </rPr>
      <t>三亚国际免税城三期雾炮机发现阳性积水</t>
    </r>
  </si>
  <si>
    <r>
      <t>2.</t>
    </r>
    <r>
      <rPr>
        <sz val="12"/>
        <color rgb="FF000000"/>
        <rFont val="宋体"/>
        <charset val="134"/>
      </rPr>
      <t>三亚国际免税城三期集水井发现阳性积水</t>
    </r>
  </si>
  <si>
    <r>
      <t>3.</t>
    </r>
    <r>
      <rPr>
        <sz val="12"/>
        <color rgb="FF000000"/>
        <rFont val="宋体"/>
        <charset val="134"/>
      </rPr>
      <t>三亚国际免税城三期集水井旁发现阳性积水</t>
    </r>
  </si>
  <si>
    <r>
      <rPr>
        <sz val="12"/>
        <color rgb="FF000000"/>
        <rFont val="宋体"/>
        <charset val="134"/>
      </rPr>
      <t>八十六、鸿业海棠住宅小区项目</t>
    </r>
  </si>
  <si>
    <r>
      <t>1.</t>
    </r>
    <r>
      <rPr>
        <sz val="12"/>
        <color rgb="FF000000"/>
        <rFont val="宋体"/>
        <charset val="134"/>
      </rPr>
      <t>鸿业海棠住宅小区项目地下室地面积水发现蚊幼孳生地</t>
    </r>
  </si>
  <si>
    <r>
      <t>2.</t>
    </r>
    <r>
      <rPr>
        <sz val="12"/>
        <color rgb="FF000000"/>
        <rFont val="宋体"/>
        <charset val="134"/>
      </rPr>
      <t>鸿业海棠住宅小区项目地下室地面积水发现蚊幼孳生地</t>
    </r>
  </si>
  <si>
    <r>
      <t>3.</t>
    </r>
    <r>
      <rPr>
        <sz val="12"/>
        <color rgb="FF000000"/>
        <rFont val="宋体"/>
        <charset val="134"/>
      </rPr>
      <t>鸿业海棠住宅小区项目地下室地面积水发现蚊幼孳生地</t>
    </r>
  </si>
  <si>
    <r>
      <t>4.</t>
    </r>
    <r>
      <rPr>
        <sz val="12"/>
        <color rgb="FF000000"/>
        <rFont val="宋体"/>
        <charset val="134"/>
      </rPr>
      <t>鸿业海棠住宅小区项目地下室集水井发现蚊幼孳生地</t>
    </r>
  </si>
  <si>
    <r>
      <t>5.</t>
    </r>
    <r>
      <rPr>
        <sz val="12"/>
        <color rgb="FF000000"/>
        <rFont val="宋体"/>
        <charset val="134"/>
      </rPr>
      <t>鸿业海棠住宅小区项目地下室集水井发现蚊幼孳生地</t>
    </r>
  </si>
  <si>
    <r>
      <t>6.</t>
    </r>
    <r>
      <rPr>
        <sz val="12"/>
        <color rgb="FF000000"/>
        <rFont val="宋体"/>
        <charset val="134"/>
      </rPr>
      <t>鸿业海棠住宅小区项目地下室夹层发现蚊幼孳生地</t>
    </r>
  </si>
  <si>
    <r>
      <rPr>
        <sz val="12"/>
        <color rgb="FF000000"/>
        <rFont val="宋体"/>
        <charset val="134"/>
      </rPr>
      <t>八十七、三亚海棠湾</t>
    </r>
    <r>
      <rPr>
        <sz val="12"/>
        <color rgb="FF000000"/>
        <rFont val="Times New Roman"/>
        <charset val="134"/>
      </rPr>
      <t>HT09-13-03</t>
    </r>
    <r>
      <rPr>
        <sz val="12"/>
        <color rgb="FF000000"/>
        <rFont val="宋体"/>
        <charset val="134"/>
      </rPr>
      <t>地块（保利仁境）商品住宅项目一期、商品住宅项目二期</t>
    </r>
  </si>
  <si>
    <r>
      <t>1.</t>
    </r>
    <r>
      <rPr>
        <sz val="12"/>
        <color rgb="FF000000"/>
        <rFont val="宋体"/>
        <charset val="134"/>
      </rPr>
      <t>三亚海棠湾</t>
    </r>
    <r>
      <rPr>
        <sz val="12"/>
        <color rgb="FF000000"/>
        <rFont val="Times New Roman"/>
        <charset val="134"/>
      </rPr>
      <t>HT09-13-03</t>
    </r>
    <r>
      <rPr>
        <sz val="12"/>
        <color rgb="FF000000"/>
        <rFont val="宋体"/>
        <charset val="134"/>
      </rPr>
      <t>地块（保利仁境）商品住宅项目一期、商品住宅项目二期工人生活区发现阳性积水</t>
    </r>
  </si>
  <si>
    <r>
      <t>2.</t>
    </r>
    <r>
      <rPr>
        <sz val="12"/>
        <color rgb="FF000000"/>
        <rFont val="宋体"/>
        <charset val="134"/>
      </rPr>
      <t>三亚海棠湾</t>
    </r>
    <r>
      <rPr>
        <sz val="12"/>
        <color rgb="FF000000"/>
        <rFont val="Times New Roman"/>
        <charset val="134"/>
      </rPr>
      <t>HT09-13-03</t>
    </r>
    <r>
      <rPr>
        <sz val="12"/>
        <color rgb="FF000000"/>
        <rFont val="宋体"/>
        <charset val="134"/>
      </rPr>
      <t>地块（保利仁境）商品住宅项目一期、商品住宅项目二期地下室发现阳性积水</t>
    </r>
  </si>
  <si>
    <r>
      <t>3.</t>
    </r>
    <r>
      <rPr>
        <sz val="12"/>
        <color rgb="FF000000"/>
        <rFont val="宋体"/>
        <charset val="134"/>
      </rPr>
      <t>三亚海棠湾</t>
    </r>
    <r>
      <rPr>
        <sz val="12"/>
        <color rgb="FF000000"/>
        <rFont val="Times New Roman"/>
        <charset val="134"/>
      </rPr>
      <t>HT09-13-03</t>
    </r>
    <r>
      <rPr>
        <sz val="12"/>
        <color rgb="FF000000"/>
        <rFont val="宋体"/>
        <charset val="134"/>
      </rPr>
      <t>地块（保利仁境）商品住宅项目一期、商品住宅项目二期地下室发现阳性积水</t>
    </r>
  </si>
  <si>
    <r>
      <rPr>
        <sz val="12"/>
        <color rgb="FF000000"/>
        <rFont val="宋体"/>
        <charset val="134"/>
      </rPr>
      <t>八十八、三亚海棠湾</t>
    </r>
    <r>
      <rPr>
        <sz val="12"/>
        <color rgb="FF000000"/>
        <rFont val="Times New Roman"/>
        <charset val="134"/>
      </rPr>
      <t>HT10-06-01</t>
    </r>
    <r>
      <rPr>
        <sz val="12"/>
        <color rgb="FF000000"/>
        <rFont val="宋体"/>
        <charset val="134"/>
      </rPr>
      <t>地块</t>
    </r>
    <r>
      <rPr>
        <sz val="12"/>
        <color rgb="FF000000"/>
        <rFont val="Times New Roman"/>
        <charset val="134"/>
      </rPr>
      <t>(</t>
    </r>
    <r>
      <rPr>
        <sz val="12"/>
        <color rgb="FF000000"/>
        <rFont val="宋体"/>
        <charset val="134"/>
      </rPr>
      <t>商品住宅</t>
    </r>
    <r>
      <rPr>
        <sz val="12"/>
        <color rgb="FF000000"/>
        <rFont val="Times New Roman"/>
        <charset val="134"/>
      </rPr>
      <t>)</t>
    </r>
    <r>
      <rPr>
        <sz val="12"/>
        <color rgb="FF000000"/>
        <rFont val="宋体"/>
        <charset val="134"/>
      </rPr>
      <t>项目第一标段、第二标段</t>
    </r>
  </si>
  <si>
    <r>
      <t>1.</t>
    </r>
    <r>
      <rPr>
        <sz val="12"/>
        <color rgb="FF000000"/>
        <rFont val="宋体"/>
        <charset val="134"/>
      </rPr>
      <t>三亚海棠湾</t>
    </r>
    <r>
      <rPr>
        <sz val="12"/>
        <color rgb="FF000000"/>
        <rFont val="Times New Roman"/>
        <charset val="134"/>
      </rPr>
      <t>HT10-06-01</t>
    </r>
    <r>
      <rPr>
        <sz val="12"/>
        <color rgb="FF000000"/>
        <rFont val="宋体"/>
        <charset val="134"/>
      </rPr>
      <t>地块</t>
    </r>
    <r>
      <rPr>
        <sz val="12"/>
        <color rgb="FF000000"/>
        <rFont val="Times New Roman"/>
        <charset val="134"/>
      </rPr>
      <t>(</t>
    </r>
    <r>
      <rPr>
        <sz val="12"/>
        <color rgb="FF000000"/>
        <rFont val="宋体"/>
        <charset val="134"/>
      </rPr>
      <t>商品住宅</t>
    </r>
    <r>
      <rPr>
        <sz val="12"/>
        <color rgb="FF000000"/>
        <rFont val="Times New Roman"/>
        <charset val="134"/>
      </rPr>
      <t>)</t>
    </r>
    <r>
      <rPr>
        <sz val="12"/>
        <color rgb="FF000000"/>
        <rFont val="宋体"/>
        <charset val="134"/>
      </rPr>
      <t>项目第一标段、第二标段地下室建材堆放处发现阳性积水</t>
    </r>
  </si>
  <si>
    <r>
      <t>2.</t>
    </r>
    <r>
      <rPr>
        <sz val="12"/>
        <color rgb="FF000000"/>
        <rFont val="宋体"/>
        <charset val="134"/>
      </rPr>
      <t>三亚海棠湾</t>
    </r>
    <r>
      <rPr>
        <sz val="12"/>
        <color rgb="FF000000"/>
        <rFont val="Times New Roman"/>
        <charset val="134"/>
      </rPr>
      <t>HT10-06-01</t>
    </r>
    <r>
      <rPr>
        <sz val="12"/>
        <color rgb="FF000000"/>
        <rFont val="宋体"/>
        <charset val="134"/>
      </rPr>
      <t>地块</t>
    </r>
    <r>
      <rPr>
        <sz val="12"/>
        <color rgb="FF000000"/>
        <rFont val="Times New Roman"/>
        <charset val="134"/>
      </rPr>
      <t>(</t>
    </r>
    <r>
      <rPr>
        <sz val="12"/>
        <color rgb="FF000000"/>
        <rFont val="宋体"/>
        <charset val="134"/>
      </rPr>
      <t>商品住宅</t>
    </r>
    <r>
      <rPr>
        <sz val="12"/>
        <color rgb="FF000000"/>
        <rFont val="Times New Roman"/>
        <charset val="134"/>
      </rPr>
      <t>)</t>
    </r>
    <r>
      <rPr>
        <sz val="12"/>
        <color rgb="FF000000"/>
        <rFont val="宋体"/>
        <charset val="134"/>
      </rPr>
      <t>项目第一标段、第二标段地下室建材堆放处发现阳性积水</t>
    </r>
  </si>
  <si>
    <r>
      <t>3.</t>
    </r>
    <r>
      <rPr>
        <sz val="12"/>
        <color rgb="FF000000"/>
        <rFont val="宋体"/>
        <charset val="134"/>
      </rPr>
      <t>三亚海棠湾</t>
    </r>
    <r>
      <rPr>
        <sz val="12"/>
        <color rgb="FF000000"/>
        <rFont val="Times New Roman"/>
        <charset val="134"/>
      </rPr>
      <t>HT10-06-01</t>
    </r>
    <r>
      <rPr>
        <sz val="12"/>
        <color rgb="FF000000"/>
        <rFont val="宋体"/>
        <charset val="134"/>
      </rPr>
      <t>地块</t>
    </r>
    <r>
      <rPr>
        <sz val="12"/>
        <color rgb="FF000000"/>
        <rFont val="Times New Roman"/>
        <charset val="134"/>
      </rPr>
      <t>(</t>
    </r>
    <r>
      <rPr>
        <sz val="12"/>
        <color rgb="FF000000"/>
        <rFont val="宋体"/>
        <charset val="134"/>
      </rPr>
      <t>商品住宅</t>
    </r>
    <r>
      <rPr>
        <sz val="12"/>
        <color rgb="FF000000"/>
        <rFont val="Times New Roman"/>
        <charset val="134"/>
      </rPr>
      <t>)</t>
    </r>
    <r>
      <rPr>
        <sz val="12"/>
        <color rgb="FF000000"/>
        <rFont val="宋体"/>
        <charset val="134"/>
      </rPr>
      <t>项目第一标段、第二标段地下室发现阳性积水</t>
    </r>
  </si>
  <si>
    <r>
      <rPr>
        <sz val="12"/>
        <color rgb="FF000000"/>
        <rFont val="宋体"/>
        <charset val="134"/>
      </rPr>
      <t>八十九、三亚健康城</t>
    </r>
    <r>
      <rPr>
        <sz val="12"/>
        <color rgb="FF000000"/>
        <rFont val="Times New Roman"/>
        <charset val="134"/>
      </rPr>
      <t>HT09-15-01</t>
    </r>
    <r>
      <rPr>
        <sz val="12"/>
        <color rgb="FF000000"/>
        <rFont val="宋体"/>
        <charset val="134"/>
      </rPr>
      <t>地块（商品住宅）项目一标段、二标段</t>
    </r>
  </si>
  <si>
    <r>
      <t>1.</t>
    </r>
    <r>
      <rPr>
        <sz val="12"/>
        <color rgb="FF000000"/>
        <rFont val="宋体"/>
        <charset val="134"/>
      </rPr>
      <t>三亚健康城</t>
    </r>
    <r>
      <rPr>
        <sz val="12"/>
        <color rgb="FF000000"/>
        <rFont val="Times New Roman"/>
        <charset val="134"/>
      </rPr>
      <t>HT09-15-01</t>
    </r>
    <r>
      <rPr>
        <sz val="12"/>
        <color rgb="FF000000"/>
        <rFont val="宋体"/>
        <charset val="134"/>
      </rPr>
      <t>地块（商品住宅）项目一标段、二标段地下室发现阳性积水</t>
    </r>
  </si>
  <si>
    <r>
      <t>2.</t>
    </r>
    <r>
      <rPr>
        <sz val="12"/>
        <color rgb="FF000000"/>
        <rFont val="宋体"/>
        <charset val="134"/>
      </rPr>
      <t>三亚健康城</t>
    </r>
    <r>
      <rPr>
        <sz val="12"/>
        <color rgb="FF000000"/>
        <rFont val="Times New Roman"/>
        <charset val="134"/>
      </rPr>
      <t>HT09-15-01</t>
    </r>
    <r>
      <rPr>
        <sz val="12"/>
        <color rgb="FF000000"/>
        <rFont val="宋体"/>
        <charset val="134"/>
      </rPr>
      <t>地块（商品住宅）项目一标段、二标段生活区发现阳性积水</t>
    </r>
  </si>
  <si>
    <r>
      <t>3.</t>
    </r>
    <r>
      <rPr>
        <sz val="12"/>
        <color rgb="FF000000"/>
        <rFont val="宋体"/>
        <charset val="134"/>
      </rPr>
      <t>三亚健康城</t>
    </r>
    <r>
      <rPr>
        <sz val="12"/>
        <color rgb="FF000000"/>
        <rFont val="Times New Roman"/>
        <charset val="134"/>
      </rPr>
      <t>HT09-15-01</t>
    </r>
    <r>
      <rPr>
        <sz val="12"/>
        <color rgb="FF000000"/>
        <rFont val="宋体"/>
        <charset val="134"/>
      </rPr>
      <t>地块（商品住宅）项目一标段、二标段消杀记录表不完善（无药品使用量、浓度配比、消杀面积等）</t>
    </r>
  </si>
  <si>
    <r>
      <rPr>
        <sz val="12"/>
        <color rgb="FF000000"/>
        <rFont val="宋体"/>
        <charset val="134"/>
      </rPr>
      <t>九十、三亚市海棠湾湾坡片区危旧房改造（安居工程）项目二期</t>
    </r>
  </si>
  <si>
    <r>
      <t>1.</t>
    </r>
    <r>
      <rPr>
        <sz val="12"/>
        <color rgb="FF000000"/>
        <rFont val="宋体"/>
        <charset val="134"/>
      </rPr>
      <t>三亚市海棠湾湾坡片区危旧房改造（安居工程）项目二期地下室发现阳性积水</t>
    </r>
  </si>
  <si>
    <r>
      <t>2.</t>
    </r>
    <r>
      <rPr>
        <sz val="12"/>
        <color rgb="FF000000"/>
        <rFont val="宋体"/>
        <charset val="134"/>
      </rPr>
      <t>三亚市海棠湾湾坡片区危旧房改造（安居工程）项目二期集水井发现阳性积水</t>
    </r>
  </si>
  <si>
    <r>
      <t>3.</t>
    </r>
    <r>
      <rPr>
        <sz val="12"/>
        <color rgb="FF000000"/>
        <rFont val="宋体"/>
        <charset val="134"/>
      </rPr>
      <t>三亚市海棠湾湾坡片区危旧房改造（安居工程）项目二期消杀记录表不完善（无药品名称、药品使用量、浓度配比、消杀面积等）</t>
    </r>
  </si>
  <si>
    <r>
      <t>4.</t>
    </r>
    <r>
      <rPr>
        <sz val="12"/>
        <color rgb="FF000000"/>
        <rFont val="宋体"/>
        <charset val="134"/>
      </rPr>
      <t>三亚市海棠湾湾坡片区危旧房改造（安居工程）项目二期部分宿舍未装蚊帐</t>
    </r>
  </si>
  <si>
    <r>
      <rPr>
        <sz val="12"/>
        <color rgb="FF000000"/>
        <rFont val="宋体"/>
        <charset val="134"/>
      </rPr>
      <t>九十一、国家级非人灵长类种质资源与模型研发中心</t>
    </r>
    <r>
      <rPr>
        <sz val="12"/>
        <color rgb="FF000000"/>
        <rFont val="Times New Roman"/>
        <charset val="134"/>
      </rPr>
      <t xml:space="preserve"> SWG02-06</t>
    </r>
    <r>
      <rPr>
        <sz val="12"/>
        <color rgb="FF000000"/>
        <rFont val="宋体"/>
        <charset val="134"/>
      </rPr>
      <t>地块</t>
    </r>
  </si>
  <si>
    <r>
      <t>1.</t>
    </r>
    <r>
      <rPr>
        <sz val="12"/>
        <color rgb="FF000000"/>
        <rFont val="宋体"/>
        <charset val="134"/>
      </rPr>
      <t>国家级非人灵长类种质资源与模型研发中心</t>
    </r>
    <r>
      <rPr>
        <sz val="12"/>
        <color rgb="FF000000"/>
        <rFont val="Times New Roman"/>
        <charset val="134"/>
      </rPr>
      <t xml:space="preserve"> SWG02-06</t>
    </r>
    <r>
      <rPr>
        <sz val="12"/>
        <color rgb="FF000000"/>
        <rFont val="宋体"/>
        <charset val="134"/>
      </rPr>
      <t>地块施工现场院内发现阳性积水</t>
    </r>
  </si>
  <si>
    <r>
      <rPr>
        <sz val="12"/>
        <color rgb="FF000000"/>
        <rFont val="宋体"/>
        <charset val="134"/>
      </rPr>
      <t>九十二、国家级非人灵长类种质资源与模型研发中心</t>
    </r>
    <r>
      <rPr>
        <sz val="12"/>
        <color rgb="FF000000"/>
        <rFont val="Times New Roman"/>
        <charset val="134"/>
      </rPr>
      <t xml:space="preserve"> SWG02-05</t>
    </r>
    <r>
      <rPr>
        <sz val="12"/>
        <color rgb="FF000000"/>
        <rFont val="宋体"/>
        <charset val="134"/>
      </rPr>
      <t>地块</t>
    </r>
  </si>
  <si>
    <r>
      <t>1.</t>
    </r>
    <r>
      <rPr>
        <sz val="12"/>
        <color rgb="FF000000"/>
        <rFont val="宋体"/>
        <charset val="134"/>
      </rPr>
      <t>国家级非人灵长类种质资源与模型研发中心</t>
    </r>
    <r>
      <rPr>
        <sz val="12"/>
        <color rgb="FF000000"/>
        <rFont val="Times New Roman"/>
        <charset val="134"/>
      </rPr>
      <t xml:space="preserve"> SWG02-05</t>
    </r>
    <r>
      <rPr>
        <sz val="12"/>
        <color rgb="FF000000"/>
        <rFont val="宋体"/>
        <charset val="134"/>
      </rPr>
      <t>地块施工现场发现大面积积水</t>
    </r>
  </si>
  <si>
    <r>
      <rPr>
        <sz val="12"/>
        <color rgb="FF000000"/>
        <rFont val="宋体"/>
        <charset val="134"/>
      </rPr>
      <t>九十三、国家级非人灵长类种质资源与模型研发中心</t>
    </r>
    <r>
      <rPr>
        <sz val="12"/>
        <color rgb="FF000000"/>
        <rFont val="Times New Roman"/>
        <charset val="134"/>
      </rPr>
      <t>EPC</t>
    </r>
    <r>
      <rPr>
        <sz val="12"/>
        <color rgb="FF000000"/>
        <rFont val="宋体"/>
        <charset val="134"/>
      </rPr>
      <t>（设计、施工）工程总承包</t>
    </r>
  </si>
  <si>
    <r>
      <t>1.</t>
    </r>
    <r>
      <rPr>
        <sz val="12"/>
        <color rgb="FF000000"/>
        <rFont val="宋体"/>
        <charset val="134"/>
      </rPr>
      <t>国家级非人灵长类种质资源与模型研发中心</t>
    </r>
    <r>
      <rPr>
        <sz val="12"/>
        <color rgb="FF000000"/>
        <rFont val="Times New Roman"/>
        <charset val="134"/>
      </rPr>
      <t>EPC</t>
    </r>
    <r>
      <rPr>
        <sz val="12"/>
        <color rgb="FF000000"/>
        <rFont val="宋体"/>
        <charset val="134"/>
      </rPr>
      <t>（设计、施工）工程总承包消杀施工记录表不规范（无用药总量、消杀作业内容、作业面积等）</t>
    </r>
  </si>
  <si>
    <r>
      <rPr>
        <sz val="12"/>
        <color rgb="FF000000"/>
        <rFont val="宋体"/>
        <charset val="134"/>
      </rPr>
      <t>九十四、三亚崖州湾深海科技城棚户区安置项目一标段</t>
    </r>
  </si>
  <si>
    <r>
      <t>1.</t>
    </r>
    <r>
      <rPr>
        <sz val="12"/>
        <color rgb="FF000000"/>
        <rFont val="宋体"/>
        <charset val="134"/>
      </rPr>
      <t>三亚崖州湾深海科技城棚户区安置项目一标段施工现场地下室发现阳性积水（已整改）</t>
    </r>
  </si>
  <si>
    <r>
      <t>2.</t>
    </r>
    <r>
      <rPr>
        <sz val="12"/>
        <color rgb="FF000000"/>
        <rFont val="宋体"/>
        <charset val="134"/>
      </rPr>
      <t>三亚崖州湾深海科技城棚户区安置项目一标段消杀施工记录表不规范（无使用药剂、药剂浓度配比、用药总量、消杀作业内容、作业面积等）（已整改）</t>
    </r>
  </si>
  <si>
    <r>
      <rPr>
        <sz val="12"/>
        <color rgb="FF000000"/>
        <rFont val="宋体"/>
        <charset val="134"/>
      </rPr>
      <t>九十五、三亚崖州湾深海科技城棚户区安置项目（二期）二标段</t>
    </r>
  </si>
  <si>
    <r>
      <t>1.</t>
    </r>
    <r>
      <rPr>
        <sz val="12"/>
        <color rgb="FF000000"/>
        <rFont val="宋体"/>
        <charset val="134"/>
      </rPr>
      <t>三亚崖州湾深海科技城棚户区安置项目（二期）二标段工人生活区发现阳性积水</t>
    </r>
  </si>
  <si>
    <r>
      <t>2.</t>
    </r>
    <r>
      <rPr>
        <sz val="12"/>
        <color rgb="FF000000"/>
        <rFont val="宋体"/>
        <charset val="134"/>
      </rPr>
      <t>三亚崖州湾深海科技城棚户区安置项目（二期）二标段工人生活区发现阳性积水</t>
    </r>
  </si>
  <si>
    <r>
      <t>3.</t>
    </r>
    <r>
      <rPr>
        <sz val="12"/>
        <color rgb="FF000000"/>
        <rFont val="宋体"/>
        <charset val="134"/>
      </rPr>
      <t>三亚崖州湾深海科技城棚户区安置项目（二期）二标段工人生活区防蚊措施落实不到位</t>
    </r>
  </si>
  <si>
    <r>
      <t>4.</t>
    </r>
    <r>
      <rPr>
        <sz val="12"/>
        <color rgb="FF000000"/>
        <rFont val="宋体"/>
        <charset val="134"/>
      </rPr>
      <t>三亚崖州湾深海科技城棚户区安置项目（二期）二标段消杀施工记录表不规范（无药剂浓度配比、用药总量、消杀作业内容、作业面积等）</t>
    </r>
  </si>
  <si>
    <r>
      <t>5.</t>
    </r>
    <r>
      <rPr>
        <sz val="12"/>
        <color rgb="FF000000"/>
        <rFont val="宋体"/>
        <charset val="134"/>
      </rPr>
      <t>三亚崖州湾深海科技城棚户区安置项目（二期）二标段施工现场地下室发现阳性积水</t>
    </r>
  </si>
  <si>
    <r>
      <t>6.</t>
    </r>
    <r>
      <rPr>
        <sz val="12"/>
        <color rgb="FF000000"/>
        <rFont val="宋体"/>
        <charset val="134"/>
      </rPr>
      <t>三亚崖州湾深海科技城棚户区安置项目（二期）二标段施工现场地下室发现阳性积水</t>
    </r>
  </si>
  <si>
    <r>
      <t>7.</t>
    </r>
    <r>
      <rPr>
        <sz val="12"/>
        <color rgb="FF000000"/>
        <rFont val="宋体"/>
        <charset val="134"/>
      </rPr>
      <t>三亚崖州湾深海科技城棚户区安置项目（二期）二标段施工现场地下室发现阳性积水</t>
    </r>
  </si>
  <si>
    <r>
      <rPr>
        <sz val="12"/>
        <color rgb="FF000000"/>
        <rFont val="宋体"/>
        <charset val="134"/>
      </rPr>
      <t>九十六、三亚崖州湾深海科技城安置区（三期）项目二标段</t>
    </r>
  </si>
  <si>
    <r>
      <t>1.</t>
    </r>
    <r>
      <rPr>
        <sz val="12"/>
        <color rgb="FF000000"/>
        <rFont val="宋体"/>
        <charset val="134"/>
      </rPr>
      <t>三亚崖州湾深海科技城安置区（三期）项目二标段施工现场地下室发现阳性积水</t>
    </r>
  </si>
  <si>
    <r>
      <t>2.</t>
    </r>
    <r>
      <rPr>
        <sz val="12"/>
        <color rgb="FF000000"/>
        <rFont val="宋体"/>
        <charset val="134"/>
      </rPr>
      <t>三亚崖州湾深海科技城安置区（三期）项目二标段施工现场地下室发现大面积积水</t>
    </r>
  </si>
  <si>
    <r>
      <t>3.</t>
    </r>
    <r>
      <rPr>
        <sz val="12"/>
        <color rgb="FF000000"/>
        <rFont val="宋体"/>
        <charset val="134"/>
      </rPr>
      <t>三亚崖州湾深海科技城安置区（三期）项目二标段消杀施工记录表不规范（建议使用剂量处手写）</t>
    </r>
  </si>
  <si>
    <r>
      <t>4.</t>
    </r>
    <r>
      <rPr>
        <sz val="12"/>
        <color rgb="FF000000"/>
        <rFont val="宋体"/>
        <charset val="134"/>
      </rPr>
      <t>三亚崖州湾深海科技城安置区（三期）项目二标段人员进退场登记台账不完善，缺少人员进场具体时间、退场销号时间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</si>
</sst>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等线"/>
      <charset val="134"/>
      <scheme val="minor"/>
    </font>
    <font>
      <sz val="11"/>
      <color theme="1"/>
      <name val="黑体"/>
      <charset val="134"/>
    </font>
    <font>
      <sz val="12"/>
      <color theme="1"/>
      <name val="Times New Roman"/>
      <charset val="134"/>
    </font>
    <font>
      <sz val="11"/>
      <color theme="1"/>
      <name val="Times New Roman"/>
      <charset val="134"/>
    </font>
    <font>
      <sz val="18"/>
      <color theme="1"/>
      <name val="方正小标宋_GBK"/>
      <charset val="134"/>
    </font>
    <font>
      <sz val="12"/>
      <color rgb="FFFFFFFF"/>
      <name val="黑体"/>
      <charset val="134"/>
    </font>
    <font>
      <sz val="12"/>
      <color rgb="FF000000"/>
      <name val="Times New Roman"/>
      <charset val="134"/>
    </font>
    <font>
      <sz val="11"/>
      <color rgb="FF000000"/>
      <name val="Times New Roman"/>
      <charset val="134"/>
    </font>
    <font>
      <sz val="12"/>
      <color theme="1"/>
      <name val="方正小标宋_GBK"/>
      <charset val="134"/>
    </font>
    <font>
      <sz val="11"/>
      <color theme="1"/>
      <name val="等线"/>
      <charset val="0"/>
      <scheme val="minor"/>
    </font>
    <font>
      <sz val="11"/>
      <color theme="0"/>
      <name val="等线"/>
      <charset val="0"/>
      <scheme val="minor"/>
    </font>
    <font>
      <sz val="11"/>
      <color rgb="FFFF0000"/>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sz val="11"/>
      <color rgb="FF9C0006"/>
      <name val="等线"/>
      <charset val="0"/>
      <scheme val="minor"/>
    </font>
    <font>
      <sz val="11"/>
      <color rgb="FF9C6500"/>
      <name val="等线"/>
      <charset val="0"/>
      <scheme val="minor"/>
    </font>
    <font>
      <b/>
      <sz val="15"/>
      <color theme="3"/>
      <name val="等线"/>
      <charset val="134"/>
      <scheme val="minor"/>
    </font>
    <font>
      <u/>
      <sz val="11"/>
      <color rgb="FF0000FF"/>
      <name val="等线"/>
      <charset val="0"/>
      <scheme val="minor"/>
    </font>
    <font>
      <u/>
      <sz val="11"/>
      <color rgb="FF800080"/>
      <name val="等线"/>
      <charset val="0"/>
      <scheme val="minor"/>
    </font>
    <font>
      <b/>
      <sz val="18"/>
      <color theme="3"/>
      <name val="等线"/>
      <charset val="134"/>
      <scheme val="minor"/>
    </font>
    <font>
      <b/>
      <sz val="11"/>
      <color rgb="FFFFFFFF"/>
      <name val="等线"/>
      <charset val="0"/>
      <scheme val="minor"/>
    </font>
    <font>
      <b/>
      <sz val="11"/>
      <color rgb="FFFA7D00"/>
      <name val="等线"/>
      <charset val="0"/>
      <scheme val="minor"/>
    </font>
    <font>
      <b/>
      <sz val="11"/>
      <color rgb="FF3F3F3F"/>
      <name val="等线"/>
      <charset val="0"/>
      <scheme val="minor"/>
    </font>
    <font>
      <sz val="11"/>
      <color rgb="FF3F3F76"/>
      <name val="等线"/>
      <charset val="0"/>
      <scheme val="minor"/>
    </font>
    <font>
      <i/>
      <sz val="11"/>
      <color rgb="FF7F7F7F"/>
      <name val="等线"/>
      <charset val="0"/>
      <scheme val="minor"/>
    </font>
    <font>
      <sz val="12"/>
      <color rgb="FF000000"/>
      <name val="宋体"/>
      <charset val="134"/>
    </font>
  </fonts>
  <fills count="34">
    <fill>
      <patternFill patternType="none"/>
    </fill>
    <fill>
      <patternFill patternType="gray125"/>
    </fill>
    <fill>
      <patternFill patternType="solid">
        <fgColor rgb="FF4472C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pplyNumberFormat="false" applyFont="false" applyFill="false" applyBorder="false" applyProtection="false"/>
    <xf numFmtId="0" fontId="10" fillId="25"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27" borderId="9" applyNumberFormat="false" applyAlignment="false" applyProtection="false">
      <alignment vertical="center"/>
    </xf>
    <xf numFmtId="0" fontId="19" fillId="0" borderId="6" applyNumberFormat="false" applyFill="false" applyAlignment="false" applyProtection="false">
      <alignment vertical="center"/>
    </xf>
    <xf numFmtId="0" fontId="26" fillId="29" borderId="10" applyNumberFormat="false" applyAlignment="false" applyProtection="false">
      <alignment vertical="center"/>
    </xf>
    <xf numFmtId="0" fontId="20" fillId="0" borderId="0" applyNumberFormat="false" applyFill="false" applyBorder="false" applyAlignment="false" applyProtection="false">
      <alignment vertical="center"/>
    </xf>
    <xf numFmtId="0" fontId="25" fillId="28" borderId="11" applyNumberFormat="false" applyAlignment="false" applyProtection="false">
      <alignment vertical="center"/>
    </xf>
    <xf numFmtId="0" fontId="9" fillId="23"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4" fillId="28" borderId="10" applyNumberFormat="false" applyAlignment="false" applyProtection="false">
      <alignment vertical="center"/>
    </xf>
    <xf numFmtId="0" fontId="10"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3" borderId="0" applyNumberFormat="false" applyBorder="false" applyAlignment="false" applyProtection="false">
      <alignment vertical="center"/>
    </xf>
    <xf numFmtId="0" fontId="0" fillId="12" borderId="7" applyNumberFormat="false" applyFont="false" applyAlignment="false" applyProtection="false">
      <alignment vertical="center"/>
    </xf>
    <xf numFmtId="0" fontId="16"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9"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0" fillId="7"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17">
    <xf numFmtId="0" fontId="0" fillId="0" borderId="0" xfId="0" applyAlignment="true">
      <alignment vertical="center"/>
    </xf>
    <xf numFmtId="0" fontId="1" fillId="0" borderId="0" xfId="0" applyFont="true" applyAlignment="true">
      <alignment vertical="center"/>
    </xf>
    <xf numFmtId="0" fontId="2" fillId="0" borderId="0" xfId="0" applyFont="true" applyAlignment="true">
      <alignment horizontal="center" vertical="center"/>
    </xf>
    <xf numFmtId="0" fontId="2" fillId="0" borderId="0" xfId="0" applyFont="true" applyAlignment="true">
      <alignment vertical="center"/>
    </xf>
    <xf numFmtId="0" fontId="3" fillId="0" borderId="0" xfId="0" applyFont="true" applyAlignment="true">
      <alignment vertical="center"/>
    </xf>
    <xf numFmtId="0" fontId="4" fillId="0" borderId="1" xfId="0" applyNumberFormat="true" applyFont="true" applyFill="true" applyBorder="true" applyAlignment="true" applyProtection="true">
      <alignment horizontal="center" vertical="center"/>
    </xf>
    <xf numFmtId="0" fontId="5" fillId="2" borderId="2" xfId="0" applyFont="true" applyFill="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3" xfId="0" applyFont="true" applyBorder="true" applyAlignment="true">
      <alignment horizontal="left" vertical="center" wrapText="true"/>
    </xf>
    <xf numFmtId="0" fontId="6" fillId="0" borderId="3" xfId="0" applyFont="true" applyBorder="true" applyAlignment="true">
      <alignment vertical="center" wrapText="true"/>
    </xf>
    <xf numFmtId="0" fontId="7" fillId="0" borderId="3" xfId="0" applyFont="true" applyBorder="true" applyAlignment="true">
      <alignment vertical="center" wrapText="true"/>
    </xf>
    <xf numFmtId="0" fontId="6" fillId="0" borderId="3" xfId="0" applyFont="true" applyBorder="true" applyAlignment="true"/>
    <xf numFmtId="0" fontId="3" fillId="0" borderId="3" xfId="0" applyFont="true" applyBorder="true" applyAlignment="true">
      <alignment vertical="center"/>
    </xf>
    <xf numFmtId="0" fontId="8" fillId="0" borderId="0" xfId="0" applyNumberFormat="true" applyFont="true" applyFill="true" applyAlignment="true" applyProtection="true">
      <alignment horizontal="center" vertical="center"/>
    </xf>
    <xf numFmtId="0" fontId="5" fillId="2" borderId="3" xfId="0" applyFont="true" applyFill="true" applyBorder="true" applyAlignment="true">
      <alignment horizontal="center" vertical="center" wrapText="true"/>
    </xf>
    <xf numFmtId="0" fontId="2" fillId="0" borderId="3" xfId="0" applyFont="true" applyBorder="true" applyAlignment="true">
      <alignment horizontal="center" vertical="center"/>
    </xf>
    <xf numFmtId="0" fontId="3" fillId="0" borderId="3" xfId="0" applyFont="true" applyBorder="true" applyAlignment="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I309"/>
  <sheetViews>
    <sheetView tabSelected="1" zoomScale="70" zoomScaleNormal="70" workbookViewId="0">
      <pane ySplit="2" topLeftCell="A5" activePane="bottomLeft" state="frozen"/>
      <selection/>
      <selection pane="bottomLeft" activeCell="Q5" sqref="Q5"/>
    </sheetView>
  </sheetViews>
  <sheetFormatPr defaultColWidth="8" defaultRowHeight="14.25"/>
  <cols>
    <col min="1" max="1" width="6.175" style="2" customWidth="true"/>
    <col min="2" max="2" width="19.2583333333333" style="3" customWidth="true"/>
    <col min="3" max="3" width="30" style="3" customWidth="true"/>
    <col min="4" max="5" width="44.6333333333333" style="4" customWidth="true"/>
    <col min="6" max="6" width="23" style="2" customWidth="true"/>
    <col min="7" max="7" width="25.5583333333333" style="2" customWidth="true"/>
    <col min="8" max="8" width="21.5833333333333" style="2" customWidth="true"/>
    <col min="9" max="9" width="20.325" style="2" customWidth="true"/>
    <col min="10" max="10" width="17.9333333333333" customWidth="true"/>
  </cols>
  <sheetData>
    <row r="1" ht="39" customHeight="true" spans="1:9">
      <c r="A1" s="5" t="s">
        <v>0</v>
      </c>
      <c r="B1" s="5"/>
      <c r="C1" s="5"/>
      <c r="D1" s="5"/>
      <c r="E1" s="5"/>
      <c r="F1" s="5"/>
      <c r="G1" s="13"/>
      <c r="H1" s="13"/>
      <c r="I1" s="13"/>
    </row>
    <row r="2" s="1" customFormat="true" ht="70" customHeight="true" spans="1:9">
      <c r="A2" s="6" t="s">
        <v>1</v>
      </c>
      <c r="B2" s="6" t="s">
        <v>2</v>
      </c>
      <c r="C2" s="6" t="s">
        <v>3</v>
      </c>
      <c r="D2" s="6" t="s">
        <v>4</v>
      </c>
      <c r="E2" s="6" t="s">
        <v>5</v>
      </c>
      <c r="F2" s="6" t="s">
        <v>6</v>
      </c>
      <c r="G2" s="14" t="s">
        <v>7</v>
      </c>
      <c r="H2" s="14" t="s">
        <v>8</v>
      </c>
      <c r="I2" s="14"/>
    </row>
    <row r="3" ht="196" customHeight="true" spans="1:9">
      <c r="A3" s="7">
        <v>1</v>
      </c>
      <c r="B3" s="8" t="s">
        <v>9</v>
      </c>
      <c r="C3" s="9" t="s">
        <v>10</v>
      </c>
      <c r="D3" s="10" t="str">
        <f>_xlfn.DISPIMG("ID_387D17CE64F944B08A61598AF2133D04",1)</f>
        <v>=DISPIMG("ID_387D17CE64F944B08A61598AF2133D04",1)</v>
      </c>
      <c r="E3" s="10" t="str">
        <f>_xlfn.DISPIMG("ID_230B4613A735476D997F3AA8BDF07C7B",1)</f>
        <v>=DISPIMG("ID_230B4613A735476D997F3AA8BDF07C7B",1)</v>
      </c>
      <c r="F3" s="7" t="s">
        <v>11</v>
      </c>
      <c r="G3" s="7" t="s">
        <v>12</v>
      </c>
      <c r="H3" s="7" t="s">
        <v>12</v>
      </c>
      <c r="I3" s="7" t="s">
        <v>12</v>
      </c>
    </row>
    <row r="4" ht="198.4" customHeight="true" spans="1:9">
      <c r="A4" s="7">
        <v>2</v>
      </c>
      <c r="B4" s="11"/>
      <c r="C4" s="9" t="s">
        <v>13</v>
      </c>
      <c r="D4" s="12" t="str">
        <f>_xlfn.DISPIMG("ID_88DC5BAC9C8B4C098B3D3C77D717AA3E",1)</f>
        <v>=DISPIMG("ID_88DC5BAC9C8B4C098B3D3C77D717AA3E",1)</v>
      </c>
      <c r="E4" s="12" t="str">
        <f>_xlfn.DISPIMG("ID_2B5ECC193AE24796A8CE27B3EFA5186A",1)</f>
        <v>=DISPIMG("ID_2B5ECC193AE24796A8CE27B3EFA5186A",1)</v>
      </c>
      <c r="F4" s="7" t="s">
        <v>11</v>
      </c>
      <c r="G4" s="15" t="s">
        <v>12</v>
      </c>
      <c r="H4" s="15" t="s">
        <v>12</v>
      </c>
      <c r="I4" s="15" t="s">
        <v>12</v>
      </c>
    </row>
    <row r="5" ht="198.4" customHeight="true" spans="1:9">
      <c r="A5" s="7">
        <v>3</v>
      </c>
      <c r="B5" s="11"/>
      <c r="C5" s="9" t="s">
        <v>14</v>
      </c>
      <c r="D5" s="12" t="str">
        <f>_xlfn.DISPIMG("ID_2A9ECF46549A4384985D2194DBF9B9E5",1)</f>
        <v>=DISPIMG("ID_2A9ECF46549A4384985D2194DBF9B9E5",1)</v>
      </c>
      <c r="E5" s="12" t="str">
        <f>_xlfn.DISPIMG("ID_75B177E90A6D460C9D01CCAAFD9CF388",1)</f>
        <v>=DISPIMG("ID_75B177E90A6D460C9D01CCAAFD9CF388",1)</v>
      </c>
      <c r="F5" s="7" t="s">
        <v>11</v>
      </c>
      <c r="G5" s="15" t="s">
        <v>12</v>
      </c>
      <c r="H5" s="15" t="s">
        <v>12</v>
      </c>
      <c r="I5" s="15" t="s">
        <v>12</v>
      </c>
    </row>
    <row r="6" ht="198.4" customHeight="true" spans="1:9">
      <c r="A6" s="7">
        <v>4</v>
      </c>
      <c r="B6" s="11"/>
      <c r="C6" s="9" t="s">
        <v>15</v>
      </c>
      <c r="D6" s="12" t="str">
        <f>_xlfn.DISPIMG("ID_BBE0BF90BA5E43F2BD2BA8C3CADF6DF7",1)</f>
        <v>=DISPIMG("ID_BBE0BF90BA5E43F2BD2BA8C3CADF6DF7",1)</v>
      </c>
      <c r="E6" s="16"/>
      <c r="F6" s="7"/>
      <c r="G6" s="15"/>
      <c r="H6" s="15"/>
      <c r="I6" s="15"/>
    </row>
    <row r="7" ht="198.4" customHeight="true" spans="1:9">
      <c r="A7" s="7">
        <v>5</v>
      </c>
      <c r="B7" s="8" t="s">
        <v>16</v>
      </c>
      <c r="C7" s="9" t="s">
        <v>17</v>
      </c>
      <c r="D7" s="10" t="str">
        <f>_xlfn.DISPIMG("ID_2AC945BAAB9C4084855DD358716E024B",1)</f>
        <v>=DISPIMG("ID_2AC945BAAB9C4084855DD358716E024B",1)</v>
      </c>
      <c r="E7" s="10" t="str">
        <f>_xlfn.DISPIMG("ID_F5870BB8E6604ABC9559F7864C1F9760",1)</f>
        <v>=DISPIMG("ID_F5870BB8E6604ABC9559F7864C1F9760",1)</v>
      </c>
      <c r="F7" s="7"/>
      <c r="G7" s="15"/>
      <c r="H7" s="15"/>
      <c r="I7" s="15"/>
    </row>
    <row r="8" ht="198.4" customHeight="true" spans="1:9">
      <c r="A8" s="7">
        <v>6</v>
      </c>
      <c r="B8" s="11"/>
      <c r="C8" s="9" t="s">
        <v>18</v>
      </c>
      <c r="D8" s="10" t="str">
        <f>_xlfn.DISPIMG("ID_AD21B837C4534CF896B3C1D379166742",1)</f>
        <v>=DISPIMG("ID_AD21B837C4534CF896B3C1D379166742",1)</v>
      </c>
      <c r="E8" s="10" t="str">
        <f>_xlfn.DISPIMG("ID_B2718A45DD5147458808F2645A5CCF1B",1)</f>
        <v>=DISPIMG("ID_B2718A45DD5147458808F2645A5CCF1B",1)</v>
      </c>
      <c r="F8" s="7"/>
      <c r="G8" s="15"/>
      <c r="H8" s="15"/>
      <c r="I8" s="15"/>
    </row>
    <row r="9" ht="198.4" customHeight="true" spans="1:9">
      <c r="A9" s="7">
        <v>7</v>
      </c>
      <c r="B9" s="11"/>
      <c r="C9" s="9" t="s">
        <v>19</v>
      </c>
      <c r="D9" s="10" t="str">
        <f>_xlfn.DISPIMG("ID_5034C87876AF4A9391C002CDDB954578",1)</f>
        <v>=DISPIMG("ID_5034C87876AF4A9391C002CDDB954578",1)</v>
      </c>
      <c r="E9" s="10" t="str">
        <f>_xlfn.DISPIMG("ID_16EEA5EC3D474F10A354C4E156444F7A",1)</f>
        <v>=DISPIMG("ID_16EEA5EC3D474F10A354C4E156444F7A",1)</v>
      </c>
      <c r="F9" s="7"/>
      <c r="G9" s="15"/>
      <c r="H9" s="15"/>
      <c r="I9" s="15"/>
    </row>
    <row r="10" ht="198.4" customHeight="true" spans="1:9">
      <c r="A10" s="7">
        <v>8</v>
      </c>
      <c r="B10" s="11"/>
      <c r="C10" s="9" t="s">
        <v>20</v>
      </c>
      <c r="D10" s="10" t="str">
        <f>_xlfn.DISPIMG("ID_E71C7C1A4B0F44A98419AE1B8E635026",1)</f>
        <v>=DISPIMG("ID_E71C7C1A4B0F44A98419AE1B8E635026",1)</v>
      </c>
      <c r="E10" s="10" t="str">
        <f>_xlfn.DISPIMG("ID_9BBEF2BCDD6E4CD7AA0750ABF1BF17FC",1)</f>
        <v>=DISPIMG("ID_9BBEF2BCDD6E4CD7AA0750ABF1BF17FC",1)</v>
      </c>
      <c r="F10" s="7"/>
      <c r="G10" s="15"/>
      <c r="H10" s="15"/>
      <c r="I10" s="15"/>
    </row>
    <row r="11" ht="198.4" customHeight="true" spans="1:9">
      <c r="A11" s="7">
        <v>9</v>
      </c>
      <c r="B11" s="11"/>
      <c r="C11" s="9" t="s">
        <v>21</v>
      </c>
      <c r="D11" s="10" t="str">
        <f>_xlfn.DISPIMG("ID_5CB5AA5CF25640908170E04724A5A0F7",1)</f>
        <v>=DISPIMG("ID_5CB5AA5CF25640908170E04724A5A0F7",1)</v>
      </c>
      <c r="E11" s="10"/>
      <c r="F11" s="7"/>
      <c r="G11" s="15"/>
      <c r="H11" s="15"/>
      <c r="I11" s="15"/>
    </row>
    <row r="12" ht="198.4" customHeight="true" spans="1:9">
      <c r="A12" s="7">
        <v>10</v>
      </c>
      <c r="B12" s="8" t="s">
        <v>22</v>
      </c>
      <c r="C12" s="9" t="s">
        <v>23</v>
      </c>
      <c r="D12" s="10" t="str">
        <f>_xlfn.DISPIMG("ID_DFB2117D09D848E195B41D451B778559",1)</f>
        <v>=DISPIMG("ID_DFB2117D09D848E195B41D451B778559",1)</v>
      </c>
      <c r="E12" s="10" t="str">
        <f>_xlfn.DISPIMG("ID_B5784CD5904A496594F3073BE9B0852C",1)</f>
        <v>=DISPIMG("ID_B5784CD5904A496594F3073BE9B0852C",1)</v>
      </c>
      <c r="F12" s="7"/>
      <c r="G12" s="15"/>
      <c r="H12" s="15"/>
      <c r="I12" s="15"/>
    </row>
    <row r="13" ht="198.4" customHeight="true" spans="1:9">
      <c r="A13" s="7">
        <v>11</v>
      </c>
      <c r="B13" s="11"/>
      <c r="C13" s="9" t="s">
        <v>24</v>
      </c>
      <c r="D13" s="10" t="str">
        <f>_xlfn.DISPIMG("ID_24A343D397834B9E81BB2712ECDFB8A9",1)</f>
        <v>=DISPIMG("ID_24A343D397834B9E81BB2712ECDFB8A9",1)</v>
      </c>
      <c r="E13" s="10"/>
      <c r="F13" s="7"/>
      <c r="G13" s="15"/>
      <c r="H13" s="15"/>
      <c r="I13" s="15"/>
    </row>
    <row r="14" ht="198.4" customHeight="true" spans="1:9">
      <c r="A14" s="7">
        <v>12</v>
      </c>
      <c r="B14" s="11"/>
      <c r="C14" s="9" t="s">
        <v>25</v>
      </c>
      <c r="D14" s="10" t="str">
        <f>_xlfn.DISPIMG("ID_46703CE75E494E5A8CB361097FA71210",1)</f>
        <v>=DISPIMG("ID_46703CE75E494E5A8CB361097FA71210",1)</v>
      </c>
      <c r="E14" s="10"/>
      <c r="F14" s="7"/>
      <c r="G14" s="15"/>
      <c r="H14" s="15"/>
      <c r="I14" s="15"/>
    </row>
    <row r="15" ht="198.4" customHeight="true" spans="1:9">
      <c r="A15" s="7">
        <v>13</v>
      </c>
      <c r="B15" s="11"/>
      <c r="C15" s="9" t="s">
        <v>26</v>
      </c>
      <c r="D15" s="10" t="str">
        <f>_xlfn.DISPIMG("ID_30265E2FF9C047B38F4F1335050A8CD8",1)</f>
        <v>=DISPIMG("ID_30265E2FF9C047B38F4F1335050A8CD8",1)</v>
      </c>
      <c r="E15" s="10"/>
      <c r="F15" s="7"/>
      <c r="G15" s="15"/>
      <c r="H15" s="15"/>
      <c r="I15" s="15"/>
    </row>
    <row r="16" ht="198.4" customHeight="true" spans="1:9">
      <c r="A16" s="7">
        <v>14</v>
      </c>
      <c r="B16" s="8" t="s">
        <v>27</v>
      </c>
      <c r="C16" s="9" t="s">
        <v>28</v>
      </c>
      <c r="D16" s="10" t="str">
        <f>_xlfn.DISPIMG("ID_31D4EEB50A1E401995734EA7DF19F06A",1)</f>
        <v>=DISPIMG("ID_31D4EEB50A1E401995734EA7DF19F06A",1)</v>
      </c>
      <c r="E16" s="10" t="str">
        <f>_xlfn.DISPIMG("ID_A4652B4535AA4ABAA5302D78D6E8CB2D",1)</f>
        <v>=DISPIMG("ID_A4652B4535AA4ABAA5302D78D6E8CB2D",1)</v>
      </c>
      <c r="F16" s="7"/>
      <c r="G16" s="15"/>
      <c r="H16" s="15"/>
      <c r="I16" s="15"/>
    </row>
    <row r="17" ht="198.4" customHeight="true" spans="1:9">
      <c r="A17" s="7">
        <v>15</v>
      </c>
      <c r="B17" s="11"/>
      <c r="C17" s="9" t="s">
        <v>29</v>
      </c>
      <c r="D17" s="10" t="str">
        <f>_xlfn.DISPIMG("ID_3AA923B360A2445C9A7E18F201535374",1)</f>
        <v>=DISPIMG("ID_3AA923B360A2445C9A7E18F201535374",1)</v>
      </c>
      <c r="E17" s="10" t="str">
        <f>_xlfn.DISPIMG("ID_B75FD8ECAF78473385019D65C4479165",1)</f>
        <v>=DISPIMG("ID_B75FD8ECAF78473385019D65C4479165",1)</v>
      </c>
      <c r="F17" s="7"/>
      <c r="G17" s="15"/>
      <c r="H17" s="15"/>
      <c r="I17" s="15"/>
    </row>
    <row r="18" ht="198.4" customHeight="true" spans="1:9">
      <c r="A18" s="7">
        <v>16</v>
      </c>
      <c r="B18" s="11"/>
      <c r="C18" s="9" t="s">
        <v>30</v>
      </c>
      <c r="D18" s="10" t="str">
        <f>_xlfn.DISPIMG("ID_11B02D715BCA4A44A2C7FFE7EE0737D1",1)</f>
        <v>=DISPIMG("ID_11B02D715BCA4A44A2C7FFE7EE0737D1",1)</v>
      </c>
      <c r="E18" s="10" t="str">
        <f>_xlfn.DISPIMG("ID_3DA92D756B1E4AE1BB235E1BBA64E2CA",1)</f>
        <v>=DISPIMG("ID_3DA92D756B1E4AE1BB235E1BBA64E2CA",1)</v>
      </c>
      <c r="F18" s="7"/>
      <c r="G18" s="15"/>
      <c r="H18" s="15"/>
      <c r="I18" s="15"/>
    </row>
    <row r="19" ht="198.4" customHeight="true" spans="1:9">
      <c r="A19" s="7">
        <v>17</v>
      </c>
      <c r="B19" s="11"/>
      <c r="C19" s="9" t="s">
        <v>31</v>
      </c>
      <c r="D19" s="10" t="str">
        <f>_xlfn.DISPIMG("ID_C072738EE8BB497CB00A6A6EC9A07947",1)</f>
        <v>=DISPIMG("ID_C072738EE8BB497CB00A6A6EC9A07947",1)</v>
      </c>
      <c r="E19" s="10" t="str">
        <f>_xlfn.DISPIMG("ID_BE4B3640C88041C9A95A647D089206B5",1)</f>
        <v>=DISPIMG("ID_BE4B3640C88041C9A95A647D089206B5",1)</v>
      </c>
      <c r="F19" s="7"/>
      <c r="G19" s="15"/>
      <c r="H19" s="15"/>
      <c r="I19" s="15"/>
    </row>
    <row r="20" ht="198.4" customHeight="true" spans="1:9">
      <c r="A20" s="7">
        <v>18</v>
      </c>
      <c r="B20" s="11"/>
      <c r="C20" s="9" t="s">
        <v>32</v>
      </c>
      <c r="D20" s="10" t="str">
        <f>_xlfn.DISPIMG("ID_ED724FF75F93490089B26C944D012E7C",1)</f>
        <v>=DISPIMG("ID_ED724FF75F93490089B26C944D012E7C",1)</v>
      </c>
      <c r="E20" s="10"/>
      <c r="F20" s="7"/>
      <c r="G20" s="15"/>
      <c r="H20" s="15"/>
      <c r="I20" s="15"/>
    </row>
    <row r="21" ht="198.4" customHeight="true" spans="1:9">
      <c r="A21" s="7">
        <v>19</v>
      </c>
      <c r="B21" s="11"/>
      <c r="C21" s="9" t="s">
        <v>33</v>
      </c>
      <c r="D21" s="10" t="str">
        <f>_xlfn.DISPIMG("ID_C03A5504F5974419949DD1E2F1EA4FAD",1)</f>
        <v>=DISPIMG("ID_C03A5504F5974419949DD1E2F1EA4FAD",1)</v>
      </c>
      <c r="E21" s="10"/>
      <c r="F21" s="7"/>
      <c r="G21" s="15"/>
      <c r="H21" s="15"/>
      <c r="I21" s="15"/>
    </row>
    <row r="22" ht="198.4" customHeight="true" spans="1:9">
      <c r="A22" s="7">
        <v>20</v>
      </c>
      <c r="B22" s="11"/>
      <c r="C22" s="9" t="s">
        <v>34</v>
      </c>
      <c r="D22" s="10" t="str">
        <f>_xlfn.DISPIMG("ID_878DC76F00B74706A3DD897737E42619",1)</f>
        <v>=DISPIMG("ID_878DC76F00B74706A3DD897737E42619",1)</v>
      </c>
      <c r="E22" s="10"/>
      <c r="F22" s="7"/>
      <c r="G22" s="15"/>
      <c r="H22" s="15"/>
      <c r="I22" s="15"/>
    </row>
    <row r="23" ht="198.4" customHeight="true" spans="1:9">
      <c r="A23" s="7">
        <v>21</v>
      </c>
      <c r="B23" s="8" t="s">
        <v>35</v>
      </c>
      <c r="C23" s="9" t="s">
        <v>36</v>
      </c>
      <c r="D23" s="10" t="str">
        <f>_xlfn.DISPIMG("ID_5403A51916AB4F7B9E08BA52B0EE8B4A",1)</f>
        <v>=DISPIMG("ID_5403A51916AB4F7B9E08BA52B0EE8B4A",1)</v>
      </c>
      <c r="E23" s="10" t="str">
        <f>_xlfn.DISPIMG("ID_0B2B943CB5C34C08A33E912AE2073E7A",1)</f>
        <v>=DISPIMG("ID_0B2B943CB5C34C08A33E912AE2073E7A",1)</v>
      </c>
      <c r="F23" s="7"/>
      <c r="G23" s="15"/>
      <c r="H23" s="15"/>
      <c r="I23" s="15"/>
    </row>
    <row r="24" ht="198.4" customHeight="true" spans="1:9">
      <c r="A24" s="7">
        <v>22</v>
      </c>
      <c r="B24" s="11"/>
      <c r="C24" s="9" t="s">
        <v>37</v>
      </c>
      <c r="D24" s="10" t="str">
        <f>_xlfn.DISPIMG("ID_D7ECC99C3F0C4EB5815004A6BB86C298",1)</f>
        <v>=DISPIMG("ID_D7ECC99C3F0C4EB5815004A6BB86C298",1)</v>
      </c>
      <c r="E24" s="10" t="str">
        <f>_xlfn.DISPIMG("ID_280E178198D4466A86322712D602E628",1)</f>
        <v>=DISPIMG("ID_280E178198D4466A86322712D602E628",1)</v>
      </c>
      <c r="F24" s="7"/>
      <c r="G24" s="15"/>
      <c r="H24" s="15"/>
      <c r="I24" s="15"/>
    </row>
    <row r="25" ht="198.4" customHeight="true" spans="1:9">
      <c r="A25" s="7">
        <v>23</v>
      </c>
      <c r="B25" s="11"/>
      <c r="C25" s="9" t="s">
        <v>38</v>
      </c>
      <c r="D25" s="10" t="str">
        <f>_xlfn.DISPIMG("ID_E32F8032B9644703B63ADB4179AEBEB2",1)</f>
        <v>=DISPIMG("ID_E32F8032B9644703B63ADB4179AEBEB2",1)</v>
      </c>
      <c r="E25" s="10" t="str">
        <f>_xlfn.DISPIMG("ID_EE14EB00D0BC45C89CC8CCE10AA366E0",1)</f>
        <v>=DISPIMG("ID_EE14EB00D0BC45C89CC8CCE10AA366E0",1)</v>
      </c>
      <c r="F25" s="7"/>
      <c r="G25" s="15"/>
      <c r="H25" s="15"/>
      <c r="I25" s="15"/>
    </row>
    <row r="26" ht="198.4" customHeight="true" spans="1:9">
      <c r="A26" s="7">
        <v>24</v>
      </c>
      <c r="B26" s="11"/>
      <c r="C26" s="9" t="s">
        <v>39</v>
      </c>
      <c r="D26" s="10" t="str">
        <f>_xlfn.DISPIMG("ID_670F9CA6C26B46F3A204B9900DD78CA2",1)</f>
        <v>=DISPIMG("ID_670F9CA6C26B46F3A204B9900DD78CA2",1)</v>
      </c>
      <c r="E26" s="10"/>
      <c r="F26" s="7"/>
      <c r="G26" s="15"/>
      <c r="H26" s="15"/>
      <c r="I26" s="15"/>
    </row>
    <row r="27" ht="198.4" customHeight="true" spans="1:9">
      <c r="A27" s="7">
        <v>25</v>
      </c>
      <c r="B27" s="11"/>
      <c r="C27" s="9" t="s">
        <v>40</v>
      </c>
      <c r="D27" s="10" t="str">
        <f>_xlfn.DISPIMG("ID_3707A076002A4824B253C96A6E4EA6A0",1)</f>
        <v>=DISPIMG("ID_3707A076002A4824B253C96A6E4EA6A0",1)</v>
      </c>
      <c r="E27" s="10"/>
      <c r="F27" s="7"/>
      <c r="G27" s="15"/>
      <c r="H27" s="15"/>
      <c r="I27" s="15"/>
    </row>
    <row r="28" ht="198.4" customHeight="true" spans="1:9">
      <c r="A28" s="7">
        <v>26</v>
      </c>
      <c r="B28" s="11"/>
      <c r="C28" s="9" t="s">
        <v>41</v>
      </c>
      <c r="D28" s="10" t="str">
        <f>_xlfn.DISPIMG("ID_7AEE2E742DB94533B7745D9DAE7C4E49",1)</f>
        <v>=DISPIMG("ID_7AEE2E742DB94533B7745D9DAE7C4E49",1)</v>
      </c>
      <c r="E28" s="10" t="str">
        <f>_xlfn.DISPIMG("ID_11783C49D452438A9B9868F404B2DBD0",1)</f>
        <v>=DISPIMG("ID_11783C49D452438A9B9868F404B2DBD0",1)</v>
      </c>
      <c r="F28" s="7"/>
      <c r="G28" s="15"/>
      <c r="H28" s="15"/>
      <c r="I28" s="15"/>
    </row>
    <row r="29" ht="198.4" customHeight="true" spans="1:9">
      <c r="A29" s="7">
        <v>27</v>
      </c>
      <c r="B29" s="8" t="s">
        <v>42</v>
      </c>
      <c r="C29" s="9" t="s">
        <v>43</v>
      </c>
      <c r="D29" s="10" t="str">
        <f>_xlfn.DISPIMG("ID_3454A53408EA4C6BA2371FDBB5D39BF4",1)</f>
        <v>=DISPIMG("ID_3454A53408EA4C6BA2371FDBB5D39BF4",1)</v>
      </c>
      <c r="E29" s="10" t="str">
        <f>_xlfn.DISPIMG("ID_2B39EB6D0077435BAC33A119AB8CB656",1)</f>
        <v>=DISPIMG("ID_2B39EB6D0077435BAC33A119AB8CB656",1)</v>
      </c>
      <c r="F29" s="7"/>
      <c r="G29" s="15"/>
      <c r="H29" s="15"/>
      <c r="I29" s="15"/>
    </row>
    <row r="30" ht="198.4" customHeight="true" spans="1:9">
      <c r="A30" s="7">
        <v>28</v>
      </c>
      <c r="B30" s="11"/>
      <c r="C30" s="9" t="s">
        <v>44</v>
      </c>
      <c r="D30" s="10" t="str">
        <f>_xlfn.DISPIMG("ID_9883CEC791B94A2ABF1503348A9993F1",1)</f>
        <v>=DISPIMG("ID_9883CEC791B94A2ABF1503348A9993F1",1)</v>
      </c>
      <c r="E30" s="10"/>
      <c r="F30" s="7"/>
      <c r="G30" s="15"/>
      <c r="H30" s="15"/>
      <c r="I30" s="15"/>
    </row>
    <row r="31" ht="198.4" customHeight="true" spans="1:9">
      <c r="A31" s="7">
        <v>29</v>
      </c>
      <c r="B31" s="11"/>
      <c r="C31" s="9" t="s">
        <v>45</v>
      </c>
      <c r="D31" s="10" t="str">
        <f>_xlfn.DISPIMG("ID_F336AE4B3AEE4E99BC3D31F5EEEC700E",1)</f>
        <v>=DISPIMG("ID_F336AE4B3AEE4E99BC3D31F5EEEC700E",1)</v>
      </c>
      <c r="E31" s="10"/>
      <c r="F31" s="7"/>
      <c r="G31" s="15"/>
      <c r="H31" s="15"/>
      <c r="I31" s="15"/>
    </row>
    <row r="32" ht="198.4" customHeight="true" spans="1:9">
      <c r="A32" s="7">
        <v>30</v>
      </c>
      <c r="B32" s="11"/>
      <c r="C32" s="9" t="s">
        <v>46</v>
      </c>
      <c r="D32" s="10" t="str">
        <f>_xlfn.DISPIMG("ID_B0F09125C07C4222B01D873BD861ED63",1)</f>
        <v>=DISPIMG("ID_B0F09125C07C4222B01D873BD861ED63",1)</v>
      </c>
      <c r="E32" s="10" t="str">
        <f>_xlfn.DISPIMG("ID_F558A1FD41944972898F7B52BF651841",1)</f>
        <v>=DISPIMG("ID_F558A1FD41944972898F7B52BF651841",1)</v>
      </c>
      <c r="F32" s="7"/>
      <c r="G32" s="15"/>
      <c r="H32" s="15"/>
      <c r="I32" s="15"/>
    </row>
    <row r="33" ht="198.4" customHeight="true" spans="1:9">
      <c r="A33" s="7">
        <v>31</v>
      </c>
      <c r="B33" s="11"/>
      <c r="C33" s="9" t="s">
        <v>47</v>
      </c>
      <c r="D33" s="10" t="str">
        <f>_xlfn.DISPIMG("ID_CADA32C24877493D98F1364F4B545D45",1)</f>
        <v>=DISPIMG("ID_CADA32C24877493D98F1364F4B545D45",1)</v>
      </c>
      <c r="E33" s="10" t="str">
        <f>_xlfn.DISPIMG("ID_072FC16F239941119F36415465BAEE8A",1)</f>
        <v>=DISPIMG("ID_072FC16F239941119F36415465BAEE8A",1)</v>
      </c>
      <c r="F33" s="7"/>
      <c r="G33" s="15"/>
      <c r="H33" s="15"/>
      <c r="I33" s="15"/>
    </row>
    <row r="34" ht="198.4" customHeight="true" spans="1:9">
      <c r="A34" s="7">
        <v>32</v>
      </c>
      <c r="B34" s="11"/>
      <c r="C34" s="9" t="s">
        <v>48</v>
      </c>
      <c r="D34" s="10" t="str">
        <f>_xlfn.DISPIMG("ID_4DE0157C7D33407EB1B8ECDB112F088C",1)</f>
        <v>=DISPIMG("ID_4DE0157C7D33407EB1B8ECDB112F088C",1)</v>
      </c>
      <c r="E34" s="10" t="str">
        <f>_xlfn.DISPIMG("ID_5043C1DFCBDE4C5D9399B58C83A6D0C2",1)</f>
        <v>=DISPIMG("ID_5043C1DFCBDE4C5D9399B58C83A6D0C2",1)</v>
      </c>
      <c r="F34" s="7"/>
      <c r="G34" s="15"/>
      <c r="H34" s="15"/>
      <c r="I34" s="15"/>
    </row>
    <row r="35" ht="198.4" customHeight="true" spans="1:9">
      <c r="A35" s="7">
        <v>33</v>
      </c>
      <c r="B35" s="8" t="s">
        <v>49</v>
      </c>
      <c r="C35" s="9" t="s">
        <v>50</v>
      </c>
      <c r="D35" s="10" t="str">
        <f>_xlfn.DISPIMG("ID_DCF62D7C969D4F40BB73CCE9AE7F6030",1)</f>
        <v>=DISPIMG("ID_DCF62D7C969D4F40BB73CCE9AE7F6030",1)</v>
      </c>
      <c r="E35" s="10" t="str">
        <f>_xlfn.DISPIMG("ID_3913C2E773F74BC89C59FDDF5826EB95",1)</f>
        <v>=DISPIMG("ID_3913C2E773F74BC89C59FDDF5826EB95",1)</v>
      </c>
      <c r="F35" s="7"/>
      <c r="G35" s="15"/>
      <c r="H35" s="15"/>
      <c r="I35" s="15"/>
    </row>
    <row r="36" ht="198.4" customHeight="true" spans="1:9">
      <c r="A36" s="7">
        <v>34</v>
      </c>
      <c r="B36" s="11"/>
      <c r="C36" s="9" t="s">
        <v>51</v>
      </c>
      <c r="D36" s="10" t="str">
        <f>_xlfn.DISPIMG("ID_EB97C59B467A4E5F9970AE55F69C12BE",1)</f>
        <v>=DISPIMG("ID_EB97C59B467A4E5F9970AE55F69C12BE",1)</v>
      </c>
      <c r="E36" s="10" t="str">
        <f>_xlfn.DISPIMG("ID_2B9C1A6449634F4F8427CD5D87D3AF07",1)</f>
        <v>=DISPIMG("ID_2B9C1A6449634F4F8427CD5D87D3AF07",1)</v>
      </c>
      <c r="F36" s="7"/>
      <c r="G36" s="15"/>
      <c r="H36" s="15"/>
      <c r="I36" s="15"/>
    </row>
    <row r="37" ht="198.4" customHeight="true" spans="1:9">
      <c r="A37" s="7">
        <v>35</v>
      </c>
      <c r="B37" s="11"/>
      <c r="C37" s="9" t="s">
        <v>52</v>
      </c>
      <c r="D37" s="10" t="str">
        <f>_xlfn.DISPIMG("ID_7C014F41C6A24B7389AE35D81E31B03B",1)</f>
        <v>=DISPIMG("ID_7C014F41C6A24B7389AE35D81E31B03B",1)</v>
      </c>
      <c r="E37" s="10"/>
      <c r="F37" s="7"/>
      <c r="G37" s="15"/>
      <c r="H37" s="15"/>
      <c r="I37" s="15"/>
    </row>
    <row r="38" ht="198.4" customHeight="true" spans="1:9">
      <c r="A38" s="7">
        <v>36</v>
      </c>
      <c r="B38" s="11"/>
      <c r="C38" s="9" t="s">
        <v>53</v>
      </c>
      <c r="D38" s="10" t="str">
        <f>_xlfn.DISPIMG("ID_0FCD8BECD2EC46B18B3AB30CED4E313A",1)</f>
        <v>=DISPIMG("ID_0FCD8BECD2EC46B18B3AB30CED4E313A",1)</v>
      </c>
      <c r="E38" s="10"/>
      <c r="F38" s="7"/>
      <c r="G38" s="15"/>
      <c r="H38" s="15"/>
      <c r="I38" s="15"/>
    </row>
    <row r="39" ht="198.4" customHeight="true" spans="1:9">
      <c r="A39" s="7">
        <v>37</v>
      </c>
      <c r="B39" s="11"/>
      <c r="C39" s="9" t="s">
        <v>54</v>
      </c>
      <c r="D39" s="10" t="str">
        <f>_xlfn.DISPIMG("ID_BAB2F3BCEAFA4731943A1BA008622237",1)</f>
        <v>=DISPIMG("ID_BAB2F3BCEAFA4731943A1BA008622237",1)</v>
      </c>
      <c r="E39" s="10"/>
      <c r="F39" s="7"/>
      <c r="G39" s="15"/>
      <c r="H39" s="15"/>
      <c r="I39" s="15"/>
    </row>
    <row r="40" ht="198.4" customHeight="true" spans="1:9">
      <c r="A40" s="7">
        <v>38</v>
      </c>
      <c r="B40" s="8" t="s">
        <v>55</v>
      </c>
      <c r="C40" s="9" t="s">
        <v>56</v>
      </c>
      <c r="D40" s="10" t="str">
        <f>_xlfn.DISPIMG("ID_B4794F1602C34BCD80FEB50754CF9BF6",1)</f>
        <v>=DISPIMG("ID_B4794F1602C34BCD80FEB50754CF9BF6",1)</v>
      </c>
      <c r="E40" s="10" t="str">
        <f>_xlfn.DISPIMG("ID_5A39A49620554FCBAB85D5BF4E63ECDA",1)</f>
        <v>=DISPIMG("ID_5A39A49620554FCBAB85D5BF4E63ECDA",1)</v>
      </c>
      <c r="F40" s="7"/>
      <c r="G40" s="15"/>
      <c r="H40" s="15"/>
      <c r="I40" s="15"/>
    </row>
    <row r="41" ht="198.4" customHeight="true" spans="1:9">
      <c r="A41" s="7">
        <v>39</v>
      </c>
      <c r="B41" s="11"/>
      <c r="C41" s="9" t="s">
        <v>57</v>
      </c>
      <c r="D41" s="10" t="str">
        <f>_xlfn.DISPIMG("ID_916B616A00D447409AC91AA826747BD6",1)</f>
        <v>=DISPIMG("ID_916B616A00D447409AC91AA826747BD6",1)</v>
      </c>
      <c r="E41" s="10" t="str">
        <f>_xlfn.DISPIMG("ID_310F38ABC5464A91969C27697F3F5E28",1)</f>
        <v>=DISPIMG("ID_310F38ABC5464A91969C27697F3F5E28",1)</v>
      </c>
      <c r="F41" s="7"/>
      <c r="G41" s="15"/>
      <c r="H41" s="15"/>
      <c r="I41" s="15"/>
    </row>
    <row r="42" ht="198.4" customHeight="true" spans="1:9">
      <c r="A42" s="7">
        <v>40</v>
      </c>
      <c r="B42" s="11"/>
      <c r="C42" s="9" t="s">
        <v>58</v>
      </c>
      <c r="D42" s="10" t="str">
        <f>_xlfn.DISPIMG("ID_0965B25099C54628BB432C8C8C081A3D",1)</f>
        <v>=DISPIMG("ID_0965B25099C54628BB432C8C8C081A3D",1)</v>
      </c>
      <c r="E42" s="10"/>
      <c r="F42" s="7"/>
      <c r="G42" s="15"/>
      <c r="H42" s="15"/>
      <c r="I42" s="15"/>
    </row>
    <row r="43" ht="198.4" customHeight="true" spans="1:9">
      <c r="A43" s="7">
        <v>41</v>
      </c>
      <c r="B43" s="11"/>
      <c r="C43" s="9" t="s">
        <v>59</v>
      </c>
      <c r="D43" s="10" t="str">
        <f>_xlfn.DISPIMG("ID_CAB7AD33A9B64BA7A720306FBD1E9D50",1)</f>
        <v>=DISPIMG("ID_CAB7AD33A9B64BA7A720306FBD1E9D50",1)</v>
      </c>
      <c r="E43" s="10"/>
      <c r="F43" s="7"/>
      <c r="G43" s="15"/>
      <c r="H43" s="15"/>
      <c r="I43" s="15"/>
    </row>
    <row r="44" ht="198.4" customHeight="true" spans="1:9">
      <c r="A44" s="7">
        <v>42</v>
      </c>
      <c r="B44" s="8" t="s">
        <v>60</v>
      </c>
      <c r="C44" s="9" t="s">
        <v>61</v>
      </c>
      <c r="D44" s="10" t="str">
        <f>_xlfn.DISPIMG("ID_FE0A0E38773C43709243F47A1CA2A69B",1)</f>
        <v>=DISPIMG("ID_FE0A0E38773C43709243F47A1CA2A69B",1)</v>
      </c>
      <c r="E44" s="10" t="str">
        <f>_xlfn.DISPIMG("ID_09DE13208B9E48B7B398E93EDABA883F",1)</f>
        <v>=DISPIMG("ID_09DE13208B9E48B7B398E93EDABA883F",1)</v>
      </c>
      <c r="F44" s="7"/>
      <c r="G44" s="15"/>
      <c r="H44" s="15"/>
      <c r="I44" s="15"/>
    </row>
    <row r="45" ht="198.4" customHeight="true" spans="1:9">
      <c r="A45" s="7">
        <v>43</v>
      </c>
      <c r="B45" s="11"/>
      <c r="C45" s="9" t="s">
        <v>62</v>
      </c>
      <c r="D45" s="10" t="str">
        <f>_xlfn.DISPIMG("ID_A36A51D4B7D844FDA900451A0EE63EC0",1)</f>
        <v>=DISPIMG("ID_A36A51D4B7D844FDA900451A0EE63EC0",1)</v>
      </c>
      <c r="E45" s="10" t="str">
        <f>_xlfn.DISPIMG("ID_442EF5B377FA4B23ADF1B7657E8FCA59",1)</f>
        <v>=DISPIMG("ID_442EF5B377FA4B23ADF1B7657E8FCA59",1)</v>
      </c>
      <c r="F45" s="7"/>
      <c r="G45" s="15"/>
      <c r="H45" s="15"/>
      <c r="I45" s="15"/>
    </row>
    <row r="46" ht="198.4" customHeight="true" spans="1:9">
      <c r="A46" s="7">
        <v>44</v>
      </c>
      <c r="B46" s="11"/>
      <c r="C46" s="9" t="s">
        <v>63</v>
      </c>
      <c r="D46" s="10" t="str">
        <f>_xlfn.DISPIMG("ID_D8243AEE8F87416BBAC2196B3E2968B7",1)</f>
        <v>=DISPIMG("ID_D8243AEE8F87416BBAC2196B3E2968B7",1)</v>
      </c>
      <c r="E46" s="10" t="str">
        <f>_xlfn.DISPIMG("ID_F0C02F9062BB44978BA30EEE675D53FD",1)</f>
        <v>=DISPIMG("ID_F0C02F9062BB44978BA30EEE675D53FD",1)</v>
      </c>
      <c r="F46" s="7"/>
      <c r="G46" s="15"/>
      <c r="H46" s="15"/>
      <c r="I46" s="15"/>
    </row>
    <row r="47" ht="198.4" customHeight="true" spans="1:9">
      <c r="A47" s="7">
        <v>45</v>
      </c>
      <c r="B47" s="11"/>
      <c r="C47" s="9" t="s">
        <v>64</v>
      </c>
      <c r="D47" s="10" t="str">
        <f>_xlfn.DISPIMG("ID_BA78944F96904BD99B78F5373C27670D",1)</f>
        <v>=DISPIMG("ID_BA78944F96904BD99B78F5373C27670D",1)</v>
      </c>
      <c r="E47" s="10"/>
      <c r="F47" s="7"/>
      <c r="G47" s="15"/>
      <c r="H47" s="15"/>
      <c r="I47" s="15"/>
    </row>
    <row r="48" ht="198.4" customHeight="true" spans="1:9">
      <c r="A48" s="7">
        <v>46</v>
      </c>
      <c r="B48" s="11"/>
      <c r="C48" s="9" t="s">
        <v>65</v>
      </c>
      <c r="D48" s="10" t="str">
        <f>_xlfn.DISPIMG("ID_7F683ADAE3E24236BF30E8190E990AFD",1)</f>
        <v>=DISPIMG("ID_7F683ADAE3E24236BF30E8190E990AFD",1)</v>
      </c>
      <c r="E48" s="10"/>
      <c r="F48" s="7"/>
      <c r="G48" s="15"/>
      <c r="H48" s="15"/>
      <c r="I48" s="15"/>
    </row>
    <row r="49" ht="198.4" customHeight="true" spans="1:9">
      <c r="A49" s="7">
        <v>47</v>
      </c>
      <c r="B49" s="9" t="s">
        <v>66</v>
      </c>
      <c r="C49" s="9" t="s">
        <v>67</v>
      </c>
      <c r="D49" s="10" t="str">
        <f>_xlfn.DISPIMG("ID_5A6A59282CA04C91B19031DD039A189E",1)</f>
        <v>=DISPIMG("ID_5A6A59282CA04C91B19031DD039A189E",1)</v>
      </c>
      <c r="E49" s="10"/>
      <c r="F49" s="7"/>
      <c r="G49" s="15"/>
      <c r="H49" s="15"/>
      <c r="I49" s="15"/>
    </row>
    <row r="50" ht="198.4" customHeight="true" spans="1:9">
      <c r="A50" s="7">
        <v>48</v>
      </c>
      <c r="B50" s="8" t="s">
        <v>68</v>
      </c>
      <c r="C50" s="9" t="s">
        <v>69</v>
      </c>
      <c r="D50" s="10" t="str">
        <f>_xlfn.DISPIMG("ID_F1C10EFF72B44E7FA2557D2E610FF1D3",1)</f>
        <v>=DISPIMG("ID_F1C10EFF72B44E7FA2557D2E610FF1D3",1)</v>
      </c>
      <c r="E50" s="10" t="str">
        <f>_xlfn.DISPIMG("ID_63DB7D403DD94820A3FE5E3A42A0369B",1)</f>
        <v>=DISPIMG("ID_63DB7D403DD94820A3FE5E3A42A0369B",1)</v>
      </c>
      <c r="F50" s="7"/>
      <c r="G50" s="15"/>
      <c r="H50" s="15"/>
      <c r="I50" s="15"/>
    </row>
    <row r="51" ht="198.4" customHeight="true" spans="1:9">
      <c r="A51" s="7">
        <v>49</v>
      </c>
      <c r="B51" s="11"/>
      <c r="C51" s="9" t="s">
        <v>70</v>
      </c>
      <c r="D51" s="10" t="str">
        <f>_xlfn.DISPIMG("ID_377702498E8F4C55A0089DA2E05FD274",1)</f>
        <v>=DISPIMG("ID_377702498E8F4C55A0089DA2E05FD274",1)</v>
      </c>
      <c r="E51" s="10" t="str">
        <f>_xlfn.DISPIMG("ID_9A130B9104474AA7B899E6DBB1B329B5",1)</f>
        <v>=DISPIMG("ID_9A130B9104474AA7B899E6DBB1B329B5",1)</v>
      </c>
      <c r="F51" s="7"/>
      <c r="G51" s="15"/>
      <c r="H51" s="15"/>
      <c r="I51" s="15"/>
    </row>
    <row r="52" ht="198.4" customHeight="true" spans="1:9">
      <c r="A52" s="7">
        <v>50</v>
      </c>
      <c r="B52" s="11"/>
      <c r="C52" s="9" t="s">
        <v>71</v>
      </c>
      <c r="D52" s="10" t="str">
        <f>_xlfn.DISPIMG("ID_60FFA37886BB4FE985EF13E2C237104A",1)</f>
        <v>=DISPIMG("ID_60FFA37886BB4FE985EF13E2C237104A",1)</v>
      </c>
      <c r="E52" s="10" t="str">
        <f>_xlfn.DISPIMG("ID_5DF022C7535F4C0DB39F94DEFC49FE14",1)</f>
        <v>=DISPIMG("ID_5DF022C7535F4C0DB39F94DEFC49FE14",1)</v>
      </c>
      <c r="F52" s="7"/>
      <c r="G52" s="15"/>
      <c r="H52" s="15"/>
      <c r="I52" s="15"/>
    </row>
    <row r="53" ht="198.4" customHeight="true" spans="1:9">
      <c r="A53" s="7">
        <v>51</v>
      </c>
      <c r="B53" s="11"/>
      <c r="C53" s="9" t="s">
        <v>72</v>
      </c>
      <c r="D53" s="10" t="str">
        <f>_xlfn.DISPIMG("ID_5689FDDDCE884715A710F18F0A4D779C",1)</f>
        <v>=DISPIMG("ID_5689FDDDCE884715A710F18F0A4D779C",1)</v>
      </c>
      <c r="E53" s="10" t="str">
        <f>_xlfn.DISPIMG("ID_51F5A8A0BED042379A333CA4DD33BEE3",1)</f>
        <v>=DISPIMG("ID_51F5A8A0BED042379A333CA4DD33BEE3",1)</v>
      </c>
      <c r="F53" s="7"/>
      <c r="G53" s="15"/>
      <c r="H53" s="15"/>
      <c r="I53" s="15"/>
    </row>
    <row r="54" ht="198.4" customHeight="true" spans="1:9">
      <c r="A54" s="7">
        <v>52</v>
      </c>
      <c r="B54" s="11"/>
      <c r="C54" s="9" t="s">
        <v>73</v>
      </c>
      <c r="D54" s="10" t="str">
        <f>_xlfn.DISPIMG("ID_0C5B9C3E2D5340FB891F04887FDA2CB1",1)</f>
        <v>=DISPIMG("ID_0C5B9C3E2D5340FB891F04887FDA2CB1",1)</v>
      </c>
      <c r="E54" s="10"/>
      <c r="F54" s="7"/>
      <c r="G54" s="15"/>
      <c r="H54" s="15"/>
      <c r="I54" s="15"/>
    </row>
    <row r="55" ht="198.4" customHeight="true" spans="1:9">
      <c r="A55" s="7">
        <v>53</v>
      </c>
      <c r="B55" s="11"/>
      <c r="C55" s="9" t="s">
        <v>74</v>
      </c>
      <c r="D55" s="10" t="str">
        <f>_xlfn.DISPIMG("ID_6FF828D494454F78AA27FD2E3B89658F",1)</f>
        <v>=DISPIMG("ID_6FF828D494454F78AA27FD2E3B89658F",1)</v>
      </c>
      <c r="E55" s="10"/>
      <c r="F55" s="7"/>
      <c r="G55" s="15"/>
      <c r="H55" s="15"/>
      <c r="I55" s="15"/>
    </row>
    <row r="56" ht="198.4" customHeight="true" spans="1:9">
      <c r="A56" s="7">
        <v>54</v>
      </c>
      <c r="B56" s="11"/>
      <c r="C56" s="9" t="s">
        <v>75</v>
      </c>
      <c r="D56" s="10" t="str">
        <f>_xlfn.DISPIMG("ID_AA4A76AD01D444C886F6E030F8FC6034",1)</f>
        <v>=DISPIMG("ID_AA4A76AD01D444C886F6E030F8FC6034",1)</v>
      </c>
      <c r="E56" s="10"/>
      <c r="F56" s="7"/>
      <c r="G56" s="15"/>
      <c r="H56" s="15"/>
      <c r="I56" s="15"/>
    </row>
    <row r="57" ht="198.4" customHeight="true" spans="1:9">
      <c r="A57" s="7">
        <v>55</v>
      </c>
      <c r="B57" s="9" t="s">
        <v>76</v>
      </c>
      <c r="C57" s="9" t="s">
        <v>77</v>
      </c>
      <c r="D57" s="10" t="str">
        <f>_xlfn.DISPIMG("ID_BBA589F89F524EB294A1CCB8CC1B91B0",1)</f>
        <v>=DISPIMG("ID_BBA589F89F524EB294A1CCB8CC1B91B0",1)</v>
      </c>
      <c r="E57" s="10"/>
      <c r="F57" s="7"/>
      <c r="G57" s="15"/>
      <c r="H57" s="15"/>
      <c r="I57" s="15"/>
    </row>
    <row r="58" ht="198.4" customHeight="true" spans="1:9">
      <c r="A58" s="7">
        <v>56</v>
      </c>
      <c r="B58" s="9" t="s">
        <v>78</v>
      </c>
      <c r="C58" s="9" t="s">
        <v>79</v>
      </c>
      <c r="D58" s="10" t="str">
        <f>_xlfn.DISPIMG("ID_635B29F021BF473E8D83961B918D91D3",1)</f>
        <v>=DISPIMG("ID_635B29F021BF473E8D83961B918D91D3",1)</v>
      </c>
      <c r="E58" s="10"/>
      <c r="F58" s="7"/>
      <c r="G58" s="15"/>
      <c r="H58" s="15"/>
      <c r="I58" s="15"/>
    </row>
    <row r="59" ht="198.4" customHeight="true" spans="1:9">
      <c r="A59" s="7">
        <v>57</v>
      </c>
      <c r="B59" s="9" t="s">
        <v>80</v>
      </c>
      <c r="C59" s="9" t="s">
        <v>81</v>
      </c>
      <c r="D59" s="10" t="str">
        <f>_xlfn.DISPIMG("ID_12D6A065557D473AA8D1B051D5FFDE8E",1)</f>
        <v>=DISPIMG("ID_12D6A065557D473AA8D1B051D5FFDE8E",1)</v>
      </c>
      <c r="E59" s="10"/>
      <c r="F59" s="7"/>
      <c r="G59" s="15"/>
      <c r="H59" s="15"/>
      <c r="I59" s="15"/>
    </row>
    <row r="60" ht="198.4" customHeight="true" spans="1:9">
      <c r="A60" s="7">
        <v>58</v>
      </c>
      <c r="B60" s="8" t="s">
        <v>82</v>
      </c>
      <c r="C60" s="9" t="s">
        <v>83</v>
      </c>
      <c r="D60" s="10" t="str">
        <f>_xlfn.DISPIMG("ID_D024796680174073A947ACD8520E2358",1)</f>
        <v>=DISPIMG("ID_D024796680174073A947ACD8520E2358",1)</v>
      </c>
      <c r="E60" s="10" t="str">
        <f>_xlfn.DISPIMG("ID_C95D6077F3054421B3BF943B9D62529B",1)</f>
        <v>=DISPIMG("ID_C95D6077F3054421B3BF943B9D62529B",1)</v>
      </c>
      <c r="F60" s="7"/>
      <c r="G60" s="15"/>
      <c r="H60" s="15"/>
      <c r="I60" s="15"/>
    </row>
    <row r="61" ht="198.4" customHeight="true" spans="1:9">
      <c r="A61" s="7">
        <v>59</v>
      </c>
      <c r="B61" s="11"/>
      <c r="C61" s="9" t="s">
        <v>84</v>
      </c>
      <c r="D61" s="10" t="str">
        <f>_xlfn.DISPIMG("ID_2B3543F040AD492C87ACB4F198B26608",1)</f>
        <v>=DISPIMG("ID_2B3543F040AD492C87ACB4F198B26608",1)</v>
      </c>
      <c r="E61" s="10" t="str">
        <f>_xlfn.DISPIMG("ID_0F455B21F9D3495D8A435306F4F00246",1)</f>
        <v>=DISPIMG("ID_0F455B21F9D3495D8A435306F4F00246",1)</v>
      </c>
      <c r="F61" s="7"/>
      <c r="G61" s="15"/>
      <c r="H61" s="15"/>
      <c r="I61" s="15"/>
    </row>
    <row r="62" ht="198.4" customHeight="true" spans="1:9">
      <c r="A62" s="7">
        <v>60</v>
      </c>
      <c r="B62" s="11"/>
      <c r="C62" s="9" t="s">
        <v>85</v>
      </c>
      <c r="D62" s="10" t="str">
        <f>_xlfn.DISPIMG("ID_F8C1A444BBCA4E028E340520808ED6C9",1)</f>
        <v>=DISPIMG("ID_F8C1A444BBCA4E028E340520808ED6C9",1)</v>
      </c>
      <c r="E62" s="10" t="str">
        <f>_xlfn.DISPIMG("ID_7268C77EC48545E4B1B33DEC657C6E88",1)</f>
        <v>=DISPIMG("ID_7268C77EC48545E4B1B33DEC657C6E88",1)</v>
      </c>
      <c r="F62" s="7"/>
      <c r="G62" s="15"/>
      <c r="H62" s="15"/>
      <c r="I62" s="15"/>
    </row>
    <row r="63" ht="198.4" customHeight="true" spans="1:9">
      <c r="A63" s="7">
        <v>61</v>
      </c>
      <c r="B63" s="11"/>
      <c r="C63" s="9" t="s">
        <v>86</v>
      </c>
      <c r="D63" s="10" t="str">
        <f>_xlfn.DISPIMG("ID_4BB6F4A663CA4204A94298931A52D44E",1)</f>
        <v>=DISPIMG("ID_4BB6F4A663CA4204A94298931A52D44E",1)</v>
      </c>
      <c r="E63" s="10" t="str">
        <f>_xlfn.DISPIMG("ID_773AB025B7D94BE89515FC28CA3E6AC1",1)</f>
        <v>=DISPIMG("ID_773AB025B7D94BE89515FC28CA3E6AC1",1)</v>
      </c>
      <c r="F63" s="7"/>
      <c r="G63" s="15"/>
      <c r="H63" s="15"/>
      <c r="I63" s="15"/>
    </row>
    <row r="64" ht="198.4" customHeight="true" spans="1:9">
      <c r="A64" s="7">
        <v>62</v>
      </c>
      <c r="B64" s="11"/>
      <c r="C64" s="9" t="s">
        <v>87</v>
      </c>
      <c r="D64" s="10" t="str">
        <f>_xlfn.DISPIMG("ID_E4B0B6314F2446C09C5C2DE2AC9A1578",1)</f>
        <v>=DISPIMG("ID_E4B0B6314F2446C09C5C2DE2AC9A1578",1)</v>
      </c>
      <c r="E64" s="10"/>
      <c r="F64" s="7"/>
      <c r="G64" s="15"/>
      <c r="H64" s="15"/>
      <c r="I64" s="15"/>
    </row>
    <row r="65" ht="198.4" customHeight="true" spans="1:9">
      <c r="A65" s="7">
        <v>63</v>
      </c>
      <c r="B65" s="9" t="s">
        <v>88</v>
      </c>
      <c r="C65" s="9" t="s">
        <v>89</v>
      </c>
      <c r="D65" s="10" t="str">
        <f>_xlfn.DISPIMG("ID_735F9654567F44F0928B086B6F7FE04C",1)</f>
        <v>=DISPIMG("ID_735F9654567F44F0928B086B6F7FE04C",1)</v>
      </c>
      <c r="E65" s="10" t="str">
        <f>_xlfn.DISPIMG("ID_ABF5298E506B4792A6A2B90C319EB8FC",1)</f>
        <v>=DISPIMG("ID_ABF5298E506B4792A6A2B90C319EB8FC",1)</v>
      </c>
      <c r="F65" s="7"/>
      <c r="G65" s="15"/>
      <c r="H65" s="15"/>
      <c r="I65" s="15"/>
    </row>
    <row r="66" ht="198.4" customHeight="true" spans="1:9">
      <c r="A66" s="7">
        <v>64</v>
      </c>
      <c r="B66" s="7" t="s">
        <v>90</v>
      </c>
      <c r="C66" s="9" t="s">
        <v>91</v>
      </c>
      <c r="D66" s="10" t="str">
        <f>_xlfn.DISPIMG("ID_93BD762658A04D81A7F30082B6D3CD35",1)</f>
        <v>=DISPIMG("ID_93BD762658A04D81A7F30082B6D3CD35",1)</v>
      </c>
      <c r="E66" s="10" t="str">
        <f>_xlfn.DISPIMG("ID_67B11ED7F85B41B4B56C3A039CB31FD7",1)</f>
        <v>=DISPIMG("ID_67B11ED7F85B41B4B56C3A039CB31FD7",1)</v>
      </c>
      <c r="F66" s="7"/>
      <c r="G66" s="15"/>
      <c r="H66" s="15"/>
      <c r="I66" s="15"/>
    </row>
    <row r="67" ht="198.4" customHeight="true" spans="1:9">
      <c r="A67" s="7">
        <v>65</v>
      </c>
      <c r="B67" s="7"/>
      <c r="C67" s="9" t="s">
        <v>92</v>
      </c>
      <c r="D67" s="10" t="str">
        <f>_xlfn.DISPIMG("ID_5D6F329500334C99AD107053D3520D73",1)</f>
        <v>=DISPIMG("ID_5D6F329500334C99AD107053D3520D73",1)</v>
      </c>
      <c r="E67" s="10"/>
      <c r="F67" s="7"/>
      <c r="G67" s="15"/>
      <c r="H67" s="15"/>
      <c r="I67" s="15"/>
    </row>
    <row r="68" ht="198.4" customHeight="true" spans="1:9">
      <c r="A68" s="7">
        <v>66</v>
      </c>
      <c r="B68" s="8" t="s">
        <v>93</v>
      </c>
      <c r="C68" s="9" t="s">
        <v>94</v>
      </c>
      <c r="D68" s="10" t="str">
        <f>_xlfn.DISPIMG("ID_4A087CC93E8E4096B4425BFDD1A273C0",1)</f>
        <v>=DISPIMG("ID_4A087CC93E8E4096B4425BFDD1A273C0",1)</v>
      </c>
      <c r="E68" s="10"/>
      <c r="F68" s="7"/>
      <c r="G68" s="15"/>
      <c r="H68" s="15"/>
      <c r="I68" s="15"/>
    </row>
    <row r="69" ht="198.4" customHeight="true" spans="1:9">
      <c r="A69" s="7">
        <v>67</v>
      </c>
      <c r="B69" s="11"/>
      <c r="C69" s="9" t="s">
        <v>95</v>
      </c>
      <c r="D69" s="10" t="str">
        <f>_xlfn.DISPIMG("ID_77D3D5D76C3E4232AC07D8DB14A5C712",1)</f>
        <v>=DISPIMG("ID_77D3D5D76C3E4232AC07D8DB14A5C712",1)</v>
      </c>
      <c r="E69" s="10"/>
      <c r="F69" s="7"/>
      <c r="G69" s="15"/>
      <c r="H69" s="15"/>
      <c r="I69" s="15"/>
    </row>
    <row r="70" ht="198.4" customHeight="true" spans="1:9">
      <c r="A70" s="7">
        <v>68</v>
      </c>
      <c r="B70" s="8" t="s">
        <v>96</v>
      </c>
      <c r="C70" s="9" t="s">
        <v>97</v>
      </c>
      <c r="D70" s="10" t="str">
        <f>_xlfn.DISPIMG("ID_2B1729E77276449B95A2029E775F0F0D",1)</f>
        <v>=DISPIMG("ID_2B1729E77276449B95A2029E775F0F0D",1)</v>
      </c>
      <c r="E70" s="10"/>
      <c r="F70" s="7"/>
      <c r="G70" s="15"/>
      <c r="H70" s="15"/>
      <c r="I70" s="15"/>
    </row>
    <row r="71" ht="198.4" customHeight="true" spans="1:9">
      <c r="A71" s="7">
        <v>69</v>
      </c>
      <c r="B71" s="11"/>
      <c r="C71" s="9" t="s">
        <v>98</v>
      </c>
      <c r="D71" s="10" t="str">
        <f>_xlfn.DISPIMG("ID_45B395BAC7DE4AC286B04CEF8B7F11D2",1)</f>
        <v>=DISPIMG("ID_45B395BAC7DE4AC286B04CEF8B7F11D2",1)</v>
      </c>
      <c r="E71" s="10" t="str">
        <f>_xlfn.DISPIMG("ID_983E9C5C3C8745A781CA4F86ECA1B86F",1)</f>
        <v>=DISPIMG("ID_983E9C5C3C8745A781CA4F86ECA1B86F",1)</v>
      </c>
      <c r="F71" s="7"/>
      <c r="G71" s="15"/>
      <c r="H71" s="15"/>
      <c r="I71" s="15"/>
    </row>
    <row r="72" ht="198.4" customHeight="true" spans="1:9">
      <c r="A72" s="7">
        <v>70</v>
      </c>
      <c r="B72" s="11"/>
      <c r="C72" s="9" t="s">
        <v>99</v>
      </c>
      <c r="D72" s="10" t="str">
        <f>_xlfn.DISPIMG("ID_129056382A2046E9A94C0642976B57BB",1)</f>
        <v>=DISPIMG("ID_129056382A2046E9A94C0642976B57BB",1)</v>
      </c>
      <c r="E72" s="10" t="str">
        <f>_xlfn.DISPIMG("ID_97C3C0423B504BB9824AA785E91466BB",1)</f>
        <v>=DISPIMG("ID_97C3C0423B504BB9824AA785E91466BB",1)</v>
      </c>
      <c r="F72" s="7"/>
      <c r="G72" s="15"/>
      <c r="H72" s="15"/>
      <c r="I72" s="15"/>
    </row>
    <row r="73" ht="198.4" customHeight="true" spans="1:9">
      <c r="A73" s="7">
        <v>71</v>
      </c>
      <c r="B73" s="8" t="s">
        <v>100</v>
      </c>
      <c r="C73" s="9" t="s">
        <v>101</v>
      </c>
      <c r="D73" s="10" t="str">
        <f>_xlfn.DISPIMG("ID_659246A1FDB947FE98494C70F537F36C",1)</f>
        <v>=DISPIMG("ID_659246A1FDB947FE98494C70F537F36C",1)</v>
      </c>
      <c r="E73" s="10"/>
      <c r="F73" s="7"/>
      <c r="G73" s="15"/>
      <c r="H73" s="15"/>
      <c r="I73" s="15"/>
    </row>
    <row r="74" ht="198.4" customHeight="true" spans="1:9">
      <c r="A74" s="7">
        <v>72</v>
      </c>
      <c r="B74" s="11"/>
      <c r="C74" s="9" t="s">
        <v>102</v>
      </c>
      <c r="D74" s="10" t="str">
        <f>_xlfn.DISPIMG("ID_D9EEAE20B3854FEAA2C006698523C734",1)</f>
        <v>=DISPIMG("ID_D9EEAE20B3854FEAA2C006698523C734",1)</v>
      </c>
      <c r="E74" s="10"/>
      <c r="F74" s="7"/>
      <c r="G74" s="15"/>
      <c r="H74" s="15"/>
      <c r="I74" s="15"/>
    </row>
    <row r="75" ht="198.4" customHeight="true" spans="1:9">
      <c r="A75" s="7">
        <v>73</v>
      </c>
      <c r="B75" s="11"/>
      <c r="C75" s="9" t="s">
        <v>103</v>
      </c>
      <c r="D75" s="10" t="str">
        <f>_xlfn.DISPIMG("ID_1FCC5DDA048543DFB3BD800FAC19E1B1",1)</f>
        <v>=DISPIMG("ID_1FCC5DDA048543DFB3BD800FAC19E1B1",1)</v>
      </c>
      <c r="E75" s="10" t="str">
        <f>_xlfn.DISPIMG("ID_1D7B920F21184EBF85C4D6ECF051D2C7",1)</f>
        <v>=DISPIMG("ID_1D7B920F21184EBF85C4D6ECF051D2C7",1)</v>
      </c>
      <c r="F75" s="7"/>
      <c r="G75" s="15"/>
      <c r="H75" s="15"/>
      <c r="I75" s="15"/>
    </row>
    <row r="76" ht="198.4" customHeight="true" spans="1:9">
      <c r="A76" s="7">
        <v>74</v>
      </c>
      <c r="B76" s="8" t="s">
        <v>104</v>
      </c>
      <c r="C76" s="9" t="s">
        <v>105</v>
      </c>
      <c r="D76" s="10" t="str">
        <f>_xlfn.DISPIMG("ID_E86EF86C6CF84C47B0BF0088F3B09796",1)</f>
        <v>=DISPIMG("ID_E86EF86C6CF84C47B0BF0088F3B09796",1)</v>
      </c>
      <c r="E76" s="10" t="str">
        <f>_xlfn.DISPIMG("ID_86D0DC96C7EC4A6188E02DF1B6EE4A6B",1)</f>
        <v>=DISPIMG("ID_86D0DC96C7EC4A6188E02DF1B6EE4A6B",1)</v>
      </c>
      <c r="F76" s="7"/>
      <c r="G76" s="15"/>
      <c r="H76" s="15"/>
      <c r="I76" s="15"/>
    </row>
    <row r="77" ht="198.4" customHeight="true" spans="1:9">
      <c r="A77" s="7">
        <v>75</v>
      </c>
      <c r="B77" s="11"/>
      <c r="C77" s="9" t="s">
        <v>106</v>
      </c>
      <c r="D77" s="10" t="str">
        <f>_xlfn.DISPIMG("ID_B01AF83849384390B5C26F2B45BB3B7F",1)</f>
        <v>=DISPIMG("ID_B01AF83849384390B5C26F2B45BB3B7F",1)</v>
      </c>
      <c r="E77" s="10"/>
      <c r="F77" s="7"/>
      <c r="G77" s="15"/>
      <c r="H77" s="15"/>
      <c r="I77" s="15"/>
    </row>
    <row r="78" ht="198.4" customHeight="true" spans="1:9">
      <c r="A78" s="7">
        <v>76</v>
      </c>
      <c r="B78" s="8" t="s">
        <v>107</v>
      </c>
      <c r="C78" s="9" t="s">
        <v>108</v>
      </c>
      <c r="D78" s="10" t="str">
        <f>_xlfn.DISPIMG("ID_390A1583CEC8494DA8957D91AE262C48",1)</f>
        <v>=DISPIMG("ID_390A1583CEC8494DA8957D91AE262C48",1)</v>
      </c>
      <c r="E78" s="10"/>
      <c r="F78" s="7"/>
      <c r="G78" s="15"/>
      <c r="H78" s="15"/>
      <c r="I78" s="15"/>
    </row>
    <row r="79" ht="198.4" customHeight="true" spans="1:9">
      <c r="A79" s="7">
        <v>77</v>
      </c>
      <c r="B79" s="11"/>
      <c r="C79" s="9" t="s">
        <v>109</v>
      </c>
      <c r="D79" s="10" t="str">
        <f>_xlfn.DISPIMG("ID_D8BE7F51C15A405995E2C8BF0D175A8E",1)</f>
        <v>=DISPIMG("ID_D8BE7F51C15A405995E2C8BF0D175A8E",1)</v>
      </c>
      <c r="E79" s="10"/>
      <c r="F79" s="7"/>
      <c r="G79" s="15"/>
      <c r="H79" s="15"/>
      <c r="I79" s="15"/>
    </row>
    <row r="80" ht="198.4" customHeight="true" spans="1:9">
      <c r="A80" s="7">
        <v>78</v>
      </c>
      <c r="B80" s="11"/>
      <c r="C80" s="9" t="s">
        <v>110</v>
      </c>
      <c r="D80" s="10" t="str">
        <f>_xlfn.DISPIMG("ID_C42B038CC8F9493DBD05EFADA29AC24B",1)</f>
        <v>=DISPIMG("ID_C42B038CC8F9493DBD05EFADA29AC24B",1)</v>
      </c>
      <c r="E80" s="10" t="str">
        <f>_xlfn.DISPIMG("ID_A26F3CD0D7184082B0A0A84D78327B94",1)</f>
        <v>=DISPIMG("ID_A26F3CD0D7184082B0A0A84D78327B94",1)</v>
      </c>
      <c r="F80" s="7"/>
      <c r="G80" s="15"/>
      <c r="H80" s="15"/>
      <c r="I80" s="15"/>
    </row>
    <row r="81" ht="198.4" customHeight="true" spans="1:9">
      <c r="A81" s="7">
        <v>79</v>
      </c>
      <c r="B81" s="8" t="s">
        <v>111</v>
      </c>
      <c r="C81" s="9" t="s">
        <v>112</v>
      </c>
      <c r="D81" s="10" t="str">
        <f>_xlfn.DISPIMG("ID_0EA31D50E5E940F89F1550E37F0614A5",1)</f>
        <v>=DISPIMG("ID_0EA31D50E5E940F89F1550E37F0614A5",1)</v>
      </c>
      <c r="E81" s="10"/>
      <c r="F81" s="7"/>
      <c r="G81" s="15"/>
      <c r="H81" s="15"/>
      <c r="I81" s="15"/>
    </row>
    <row r="82" ht="198.4" customHeight="true" spans="1:9">
      <c r="A82" s="7">
        <v>80</v>
      </c>
      <c r="B82" s="11"/>
      <c r="C82" s="9" t="s">
        <v>113</v>
      </c>
      <c r="D82" s="10" t="str">
        <f>_xlfn.DISPIMG("ID_9D0FD34EEF8E4FEA85DA5356994BB7B5",1)</f>
        <v>=DISPIMG("ID_9D0FD34EEF8E4FEA85DA5356994BB7B5",1)</v>
      </c>
      <c r="E82" s="10"/>
      <c r="F82" s="7"/>
      <c r="G82" s="15"/>
      <c r="H82" s="15"/>
      <c r="I82" s="15"/>
    </row>
    <row r="83" ht="198.4" customHeight="true" spans="1:9">
      <c r="A83" s="7">
        <v>81</v>
      </c>
      <c r="B83" s="11"/>
      <c r="C83" s="9" t="s">
        <v>114</v>
      </c>
      <c r="D83" s="10" t="str">
        <f>_xlfn.DISPIMG("ID_11D6A11A4E1D48B9B587FE2157E9A63D",1)</f>
        <v>=DISPIMG("ID_11D6A11A4E1D48B9B587FE2157E9A63D",1)</v>
      </c>
      <c r="E83" s="10" t="str">
        <f>_xlfn.DISPIMG("ID_BA0A655ED5C848A5B5D4E357F2E34536",1)</f>
        <v>=DISPIMG("ID_BA0A655ED5C848A5B5D4E357F2E34536",1)</v>
      </c>
      <c r="F83" s="7"/>
      <c r="G83" s="15"/>
      <c r="H83" s="15"/>
      <c r="I83" s="15"/>
    </row>
    <row r="84" ht="198.4" customHeight="true" spans="1:9">
      <c r="A84" s="7">
        <v>82</v>
      </c>
      <c r="B84" s="8" t="s">
        <v>115</v>
      </c>
      <c r="C84" s="9" t="s">
        <v>116</v>
      </c>
      <c r="D84" s="10" t="str">
        <f>_xlfn.DISPIMG("ID_85D54BB6FFF648A6A31937A9E45D6BB7",1)</f>
        <v>=DISPIMG("ID_85D54BB6FFF648A6A31937A9E45D6BB7",1)</v>
      </c>
      <c r="E84" s="10" t="str">
        <f>_xlfn.DISPIMG("ID_92C33534A01E4324839C30FF8A190169",1)</f>
        <v>=DISPIMG("ID_92C33534A01E4324839C30FF8A190169",1)</v>
      </c>
      <c r="F84" s="7"/>
      <c r="G84" s="15"/>
      <c r="H84" s="15"/>
      <c r="I84" s="15"/>
    </row>
    <row r="85" ht="198.4" customHeight="true" spans="1:9">
      <c r="A85" s="7">
        <v>83</v>
      </c>
      <c r="B85" s="11"/>
      <c r="C85" s="9" t="s">
        <v>117</v>
      </c>
      <c r="D85" s="10" t="str">
        <f>_xlfn.DISPIMG("ID_6B00E11ED1D04361A364F31FFD2B02B9",1)</f>
        <v>=DISPIMG("ID_6B00E11ED1D04361A364F31FFD2B02B9",1)</v>
      </c>
      <c r="E85" s="10" t="str">
        <f>_xlfn.DISPIMG("ID_B489E4A12E684B4485DC4523A40BBB4B",1)</f>
        <v>=DISPIMG("ID_B489E4A12E684B4485DC4523A40BBB4B",1)</v>
      </c>
      <c r="F85" s="7"/>
      <c r="G85" s="15"/>
      <c r="H85" s="15"/>
      <c r="I85" s="15"/>
    </row>
    <row r="86" ht="198.4" customHeight="true" spans="1:9">
      <c r="A86" s="7">
        <v>84</v>
      </c>
      <c r="B86" s="8" t="s">
        <v>118</v>
      </c>
      <c r="C86" s="9" t="s">
        <v>119</v>
      </c>
      <c r="D86" s="10" t="str">
        <f>_xlfn.DISPIMG("ID_792DAAD5F4E84E06AFAE7E8AB9912C06",1)</f>
        <v>=DISPIMG("ID_792DAAD5F4E84E06AFAE7E8AB9912C06",1)</v>
      </c>
      <c r="E86" s="10"/>
      <c r="F86" s="7"/>
      <c r="G86" s="15"/>
      <c r="H86" s="15"/>
      <c r="I86" s="15"/>
    </row>
    <row r="87" ht="198.4" customHeight="true" spans="1:9">
      <c r="A87" s="7">
        <v>85</v>
      </c>
      <c r="B87" s="11"/>
      <c r="C87" s="9" t="s">
        <v>120</v>
      </c>
      <c r="D87" s="10" t="str">
        <f>_xlfn.DISPIMG("ID_B72880495BD241F898CA8E5D0FDABE1E",1)</f>
        <v>=DISPIMG("ID_B72880495BD241F898CA8E5D0FDABE1E",1)</v>
      </c>
      <c r="E87" s="10" t="str">
        <f>_xlfn.DISPIMG("ID_D851325FB44048649C19F94EF00E9DBE",1)</f>
        <v>=DISPIMG("ID_D851325FB44048649C19F94EF00E9DBE",1)</v>
      </c>
      <c r="F87" s="7"/>
      <c r="G87" s="15"/>
      <c r="H87" s="15"/>
      <c r="I87" s="15"/>
    </row>
    <row r="88" ht="198.4" customHeight="true" spans="1:9">
      <c r="A88" s="7">
        <v>86</v>
      </c>
      <c r="B88" s="11"/>
      <c r="C88" s="9" t="s">
        <v>121</v>
      </c>
      <c r="D88" s="10" t="str">
        <f>_xlfn.DISPIMG("ID_58B7D9F4170B49F4873CB8E8764BCB00",1)</f>
        <v>=DISPIMG("ID_58B7D9F4170B49F4873CB8E8764BCB00",1)</v>
      </c>
      <c r="E88" s="10" t="str">
        <f>_xlfn.DISPIMG("ID_59B9C8EE8D324D07B64BAE891828DB1E",1)</f>
        <v>=DISPIMG("ID_59B9C8EE8D324D07B64BAE891828DB1E",1)</v>
      </c>
      <c r="F88" s="7"/>
      <c r="G88" s="15"/>
      <c r="H88" s="15"/>
      <c r="I88" s="15"/>
    </row>
    <row r="89" ht="198.4" customHeight="true" spans="1:9">
      <c r="A89" s="7">
        <v>87</v>
      </c>
      <c r="B89" s="8" t="s">
        <v>122</v>
      </c>
      <c r="C89" s="9" t="s">
        <v>123</v>
      </c>
      <c r="D89" s="10" t="str">
        <f>_xlfn.DISPIMG("ID_96D4249D229E415F816FA42F234BC605",1)</f>
        <v>=DISPIMG("ID_96D4249D229E415F816FA42F234BC605",1)</v>
      </c>
      <c r="E89" s="10" t="str">
        <f>_xlfn.DISPIMG("ID_76DB691F6054458A91FA36D6C83A4C62",1)</f>
        <v>=DISPIMG("ID_76DB691F6054458A91FA36D6C83A4C62",1)</v>
      </c>
      <c r="F89" s="7"/>
      <c r="G89" s="15"/>
      <c r="H89" s="15"/>
      <c r="I89" s="15"/>
    </row>
    <row r="90" ht="198.4" customHeight="true" spans="1:9">
      <c r="A90" s="7">
        <v>88</v>
      </c>
      <c r="B90" s="11"/>
      <c r="C90" s="9" t="s">
        <v>124</v>
      </c>
      <c r="D90" s="10" t="str">
        <f>_xlfn.DISPIMG("ID_D675607A3C534691ADCFE43EE0E99644",1)</f>
        <v>=DISPIMG("ID_D675607A3C534691ADCFE43EE0E99644",1)</v>
      </c>
      <c r="E90" s="10" t="str">
        <f>_xlfn.DISPIMG("ID_C1529AE9A8B747A6AFE8C0ECA05D0CA8",1)</f>
        <v>=DISPIMG("ID_C1529AE9A8B747A6AFE8C0ECA05D0CA8",1)</v>
      </c>
      <c r="F90" s="7"/>
      <c r="G90" s="15"/>
      <c r="H90" s="15"/>
      <c r="I90" s="15"/>
    </row>
    <row r="91" ht="198.4" customHeight="true" spans="1:9">
      <c r="A91" s="7">
        <v>89</v>
      </c>
      <c r="B91" s="11"/>
      <c r="C91" s="9" t="s">
        <v>125</v>
      </c>
      <c r="D91" s="10" t="str">
        <f>_xlfn.DISPIMG("ID_C4B3161B21CE4CAEB3DC7E3E45FC2C85",1)</f>
        <v>=DISPIMG("ID_C4B3161B21CE4CAEB3DC7E3E45FC2C85",1)</v>
      </c>
      <c r="E91" s="10" t="str">
        <f>_xlfn.DISPIMG("ID_A473A0913C744184B45D445CD4EB8CA9",1)</f>
        <v>=DISPIMG("ID_A473A0913C744184B45D445CD4EB8CA9",1)</v>
      </c>
      <c r="F91" s="7"/>
      <c r="G91" s="15"/>
      <c r="H91" s="15"/>
      <c r="I91" s="15"/>
    </row>
    <row r="92" ht="198.4" customHeight="true" spans="1:9">
      <c r="A92" s="7">
        <v>90</v>
      </c>
      <c r="B92" s="11"/>
      <c r="C92" s="9" t="s">
        <v>126</v>
      </c>
      <c r="D92" s="10" t="str">
        <f>_xlfn.DISPIMG("ID_AB95994C128D4436B42DC7C9A18A3D1D",1)</f>
        <v>=DISPIMG("ID_AB95994C128D4436B42DC7C9A18A3D1D",1)</v>
      </c>
      <c r="E92" s="10" t="str">
        <f>_xlfn.DISPIMG("ID_194E472C354E43D6BC47FD5314470D08",1)</f>
        <v>=DISPIMG("ID_194E472C354E43D6BC47FD5314470D08",1)</v>
      </c>
      <c r="F92" s="7"/>
      <c r="G92" s="15"/>
      <c r="H92" s="15"/>
      <c r="I92" s="15"/>
    </row>
    <row r="93" ht="198.4" customHeight="true" spans="1:9">
      <c r="A93" s="7">
        <v>91</v>
      </c>
      <c r="B93" s="11"/>
      <c r="C93" s="9" t="s">
        <v>127</v>
      </c>
      <c r="D93" s="10" t="str">
        <f>_xlfn.DISPIMG("ID_89E2C7EDC2924BB5B7E5D17A44A012F0",1)</f>
        <v>=DISPIMG("ID_89E2C7EDC2924BB5B7E5D17A44A012F0",1)</v>
      </c>
      <c r="E93" s="10"/>
      <c r="F93" s="7"/>
      <c r="G93" s="15"/>
      <c r="H93" s="15"/>
      <c r="I93" s="15"/>
    </row>
    <row r="94" ht="198.4" customHeight="true" spans="1:9">
      <c r="A94" s="7">
        <v>92</v>
      </c>
      <c r="B94" s="8" t="s">
        <v>128</v>
      </c>
      <c r="C94" s="9" t="s">
        <v>129</v>
      </c>
      <c r="D94" s="10" t="str">
        <f>_xlfn.DISPIMG("ID_32D12AAD1AD941449669113D53FA7774",1)</f>
        <v>=DISPIMG("ID_32D12AAD1AD941449669113D53FA7774",1)</v>
      </c>
      <c r="E94" s="10"/>
      <c r="F94" s="7"/>
      <c r="G94" s="15"/>
      <c r="H94" s="15"/>
      <c r="I94" s="15"/>
    </row>
    <row r="95" ht="198.4" customHeight="true" spans="1:9">
      <c r="A95" s="7">
        <v>93</v>
      </c>
      <c r="B95" s="11"/>
      <c r="C95" s="9" t="s">
        <v>130</v>
      </c>
      <c r="D95" s="10" t="str">
        <f>_xlfn.DISPIMG("ID_2AD0561F00F74B6CB5C6394D61D3DFF2",1)</f>
        <v>=DISPIMG("ID_2AD0561F00F74B6CB5C6394D61D3DFF2",1)</v>
      </c>
      <c r="E95" s="10"/>
      <c r="F95" s="7"/>
      <c r="G95" s="15"/>
      <c r="H95" s="15"/>
      <c r="I95" s="15"/>
    </row>
    <row r="96" ht="198.4" customHeight="true" spans="1:9">
      <c r="A96" s="7">
        <v>94</v>
      </c>
      <c r="B96" s="11"/>
      <c r="C96" s="9" t="s">
        <v>131</v>
      </c>
      <c r="D96" s="10" t="str">
        <f>_xlfn.DISPIMG("ID_9561E8F0BAB74A0194541A545F1E56A1",1)</f>
        <v>=DISPIMG("ID_9561E8F0BAB74A0194541A545F1E56A1",1)</v>
      </c>
      <c r="E96" s="10" t="str">
        <f>_xlfn.DISPIMG("ID_93EA01D7AC05440AA744D8BC93ADCD21",1)</f>
        <v>=DISPIMG("ID_93EA01D7AC05440AA744D8BC93ADCD21",1)</v>
      </c>
      <c r="F96" s="7"/>
      <c r="G96" s="15"/>
      <c r="H96" s="15"/>
      <c r="I96" s="15"/>
    </row>
    <row r="97" ht="198.4" customHeight="true" spans="1:9">
      <c r="A97" s="7">
        <v>95</v>
      </c>
      <c r="B97" s="11"/>
      <c r="C97" s="9" t="s">
        <v>132</v>
      </c>
      <c r="D97" s="10" t="str">
        <f>_xlfn.DISPIMG("ID_1F1EB9B760884C94815A1250EC5D57A9",1)</f>
        <v>=DISPIMG("ID_1F1EB9B760884C94815A1250EC5D57A9",1)</v>
      </c>
      <c r="E97" s="10" t="str">
        <f>_xlfn.DISPIMG("ID_09D5CB15E09141B88606C16F2BD89096",1)</f>
        <v>=DISPIMG("ID_09D5CB15E09141B88606C16F2BD89096",1)</v>
      </c>
      <c r="F97" s="7"/>
      <c r="G97" s="15"/>
      <c r="H97" s="15"/>
      <c r="I97" s="15"/>
    </row>
    <row r="98" ht="198.4" customHeight="true" spans="1:9">
      <c r="A98" s="7">
        <v>96</v>
      </c>
      <c r="B98" s="11"/>
      <c r="C98" s="9" t="s">
        <v>133</v>
      </c>
      <c r="D98" s="10" t="str">
        <f>_xlfn.DISPIMG("ID_532220F8F9FE472C9B0266273EE6AF2B",1)</f>
        <v>=DISPIMG("ID_532220F8F9FE472C9B0266273EE6AF2B",1)</v>
      </c>
      <c r="E98" s="10" t="str">
        <f>_xlfn.DISPIMG("ID_CD76CFFBF1144EBE96BBD794A79D4530",1)</f>
        <v>=DISPIMG("ID_CD76CFFBF1144EBE96BBD794A79D4530",1)</v>
      </c>
      <c r="F98" s="7"/>
      <c r="G98" s="15"/>
      <c r="H98" s="15"/>
      <c r="I98" s="15"/>
    </row>
    <row r="99" ht="198.4" customHeight="true" spans="1:9">
      <c r="A99" s="7">
        <v>97</v>
      </c>
      <c r="B99" s="9" t="s">
        <v>134</v>
      </c>
      <c r="C99" s="9" t="s">
        <v>135</v>
      </c>
      <c r="D99" s="10" t="str">
        <f>_xlfn.DISPIMG("ID_A32AF93305AC47F991F252E249997B1D",1)</f>
        <v>=DISPIMG("ID_A32AF93305AC47F991F252E249997B1D",1)</v>
      </c>
      <c r="E99" s="10"/>
      <c r="F99" s="7"/>
      <c r="G99" s="15"/>
      <c r="H99" s="15"/>
      <c r="I99" s="15"/>
    </row>
    <row r="100" ht="198.4" customHeight="true" spans="1:9">
      <c r="A100" s="7">
        <v>98</v>
      </c>
      <c r="B100" s="9" t="s">
        <v>136</v>
      </c>
      <c r="C100" s="9" t="s">
        <v>137</v>
      </c>
      <c r="D100" s="10" t="str">
        <f>_xlfn.DISPIMG("ID_3094EB420A6F4A24B14936E4A9EBF525",1)</f>
        <v>=DISPIMG("ID_3094EB420A6F4A24B14936E4A9EBF525",1)</v>
      </c>
      <c r="E100" s="10" t="str">
        <f>_xlfn.DISPIMG("ID_F0582664A21647DAAC0520061AA74AF0",1)</f>
        <v>=DISPIMG("ID_F0582664A21647DAAC0520061AA74AF0",1)</v>
      </c>
      <c r="F100" s="7"/>
      <c r="G100" s="15"/>
      <c r="H100" s="15"/>
      <c r="I100" s="15"/>
    </row>
    <row r="101" ht="198.4" customHeight="true" spans="1:9">
      <c r="A101" s="7">
        <v>99</v>
      </c>
      <c r="B101" s="8" t="s">
        <v>138</v>
      </c>
      <c r="C101" s="9" t="s">
        <v>139</v>
      </c>
      <c r="D101" s="10" t="str">
        <f>_xlfn.DISPIMG("ID_0F91547343CB40D79850C244C3E201AF",1)</f>
        <v>=DISPIMG("ID_0F91547343CB40D79850C244C3E201AF",1)</v>
      </c>
      <c r="E101" s="10" t="str">
        <f>_xlfn.DISPIMG("ID_A6BA4BAD41E8442F96D82C9E2C690208",1)</f>
        <v>=DISPIMG("ID_A6BA4BAD41E8442F96D82C9E2C690208",1)</v>
      </c>
      <c r="F101" s="7"/>
      <c r="G101" s="15"/>
      <c r="H101" s="15"/>
      <c r="I101" s="15"/>
    </row>
    <row r="102" ht="198.4" customHeight="true" spans="1:9">
      <c r="A102" s="7">
        <v>100</v>
      </c>
      <c r="B102" s="11"/>
      <c r="C102" s="9" t="s">
        <v>140</v>
      </c>
      <c r="D102" s="10" t="str">
        <f>_xlfn.DISPIMG("ID_440AC24853054601AF5C8B927DB95632",1)</f>
        <v>=DISPIMG("ID_440AC24853054601AF5C8B927DB95632",1)</v>
      </c>
      <c r="E102" s="10" t="str">
        <f>_xlfn.DISPIMG("ID_2E99B2CCF293468E8C52BB14FEC3285F",1)</f>
        <v>=DISPIMG("ID_2E99B2CCF293468E8C52BB14FEC3285F",1)</v>
      </c>
      <c r="F102" s="7"/>
      <c r="G102" s="15"/>
      <c r="H102" s="15"/>
      <c r="I102" s="15"/>
    </row>
    <row r="103" ht="198.4" customHeight="true" spans="1:9">
      <c r="A103" s="7">
        <v>101</v>
      </c>
      <c r="B103" s="11"/>
      <c r="C103" s="9" t="s">
        <v>141</v>
      </c>
      <c r="D103" s="10" t="str">
        <f>_xlfn.DISPIMG("ID_C2DFE69140C546F89E06298AD20B5888",1)</f>
        <v>=DISPIMG("ID_C2DFE69140C546F89E06298AD20B5888",1)</v>
      </c>
      <c r="E103" s="10"/>
      <c r="F103" s="7"/>
      <c r="G103" s="15"/>
      <c r="H103" s="15"/>
      <c r="I103" s="15"/>
    </row>
    <row r="104" ht="198.4" customHeight="true" spans="1:9">
      <c r="A104" s="7">
        <v>102</v>
      </c>
      <c r="B104" s="8" t="s">
        <v>142</v>
      </c>
      <c r="C104" s="9" t="s">
        <v>143</v>
      </c>
      <c r="D104" s="10" t="str">
        <f>_xlfn.DISPIMG("ID_79F15BACC95E46A3BFA14708452207DA",1)</f>
        <v>=DISPIMG("ID_79F15BACC95E46A3BFA14708452207DA",1)</v>
      </c>
      <c r="E104" s="10"/>
      <c r="F104" s="7"/>
      <c r="G104" s="15"/>
      <c r="H104" s="15"/>
      <c r="I104" s="15"/>
    </row>
    <row r="105" ht="198.4" customHeight="true" spans="1:9">
      <c r="A105" s="7">
        <v>103</v>
      </c>
      <c r="B105" s="11"/>
      <c r="C105" s="9" t="s">
        <v>144</v>
      </c>
      <c r="D105" s="10" t="str">
        <f>_xlfn.DISPIMG("ID_5C7228A569CC4F9C83FCA475366DDB14",1)</f>
        <v>=DISPIMG("ID_5C7228A569CC4F9C83FCA475366DDB14",1)</v>
      </c>
      <c r="E105" s="10" t="str">
        <f>_xlfn.DISPIMG("ID_4CC9D788626042FBAF4BC628C8F2FDFB",1)</f>
        <v>=DISPIMG("ID_4CC9D788626042FBAF4BC628C8F2FDFB",1)</v>
      </c>
      <c r="F105" s="7"/>
      <c r="G105" s="15"/>
      <c r="H105" s="15"/>
      <c r="I105" s="15"/>
    </row>
    <row r="106" ht="198.4" customHeight="true" spans="1:9">
      <c r="A106" s="7">
        <v>104</v>
      </c>
      <c r="B106" s="11"/>
      <c r="C106" s="9" t="s">
        <v>145</v>
      </c>
      <c r="D106" s="10" t="str">
        <f>_xlfn.DISPIMG("ID_3243DFCAB8E44339A542876654EFDE16",1)</f>
        <v>=DISPIMG("ID_3243DFCAB8E44339A542876654EFDE16",1)</v>
      </c>
      <c r="E106" s="10" t="str">
        <f>_xlfn.DISPIMG("ID_673677707EEC476AA5355CA56273F801",1)</f>
        <v>=DISPIMG("ID_673677707EEC476AA5355CA56273F801",1)</v>
      </c>
      <c r="F106" s="7"/>
      <c r="G106" s="15"/>
      <c r="H106" s="15"/>
      <c r="I106" s="15"/>
    </row>
    <row r="107" ht="198.4" customHeight="true" spans="1:9">
      <c r="A107" s="7">
        <v>105</v>
      </c>
      <c r="B107" s="11"/>
      <c r="C107" s="9" t="s">
        <v>146</v>
      </c>
      <c r="D107" s="10" t="str">
        <f>_xlfn.DISPIMG("ID_58240A74F3F344BB9184C216E0E90D75",1)</f>
        <v>=DISPIMG("ID_58240A74F3F344BB9184C216E0E90D75",1)</v>
      </c>
      <c r="E107" s="10" t="str">
        <f>_xlfn.DISPIMG("ID_6149505A014E43AAB41C0825E4EF25F1",1)</f>
        <v>=DISPIMG("ID_6149505A014E43AAB41C0825E4EF25F1",1)</v>
      </c>
      <c r="F107" s="7"/>
      <c r="G107" s="15"/>
      <c r="H107" s="15"/>
      <c r="I107" s="15"/>
    </row>
    <row r="108" ht="198.4" customHeight="true" spans="1:9">
      <c r="A108" s="7">
        <v>106</v>
      </c>
      <c r="B108" s="9" t="s">
        <v>147</v>
      </c>
      <c r="C108" s="9" t="s">
        <v>148</v>
      </c>
      <c r="D108" s="10" t="str">
        <f>_xlfn.DISPIMG("ID_1A3F555AA1484D479E787E4553CF453C",1)</f>
        <v>=DISPIMG("ID_1A3F555AA1484D479E787E4553CF453C",1)</v>
      </c>
      <c r="E108" s="10"/>
      <c r="F108" s="7"/>
      <c r="G108" s="15"/>
      <c r="H108" s="15"/>
      <c r="I108" s="15"/>
    </row>
    <row r="109" ht="198.4" customHeight="true" spans="1:9">
      <c r="A109" s="7">
        <v>107</v>
      </c>
      <c r="B109" s="8" t="s">
        <v>149</v>
      </c>
      <c r="C109" s="9" t="s">
        <v>150</v>
      </c>
      <c r="D109" s="10" t="str">
        <f>_xlfn.DISPIMG("ID_17399C76D55E4964AD3313A259657720",1)</f>
        <v>=DISPIMG("ID_17399C76D55E4964AD3313A259657720",1)</v>
      </c>
      <c r="E109" s="10"/>
      <c r="F109" s="7"/>
      <c r="G109" s="15"/>
      <c r="H109" s="15"/>
      <c r="I109" s="15"/>
    </row>
    <row r="110" ht="198.4" customHeight="true" spans="1:9">
      <c r="A110" s="7">
        <v>108</v>
      </c>
      <c r="B110" s="11"/>
      <c r="C110" s="9" t="s">
        <v>151</v>
      </c>
      <c r="D110" s="10" t="str">
        <f>_xlfn.DISPIMG("ID_3F13315A4F7D42E784BC50A9FC09DCD2",1)</f>
        <v>=DISPIMG("ID_3F13315A4F7D42E784BC50A9FC09DCD2",1)</v>
      </c>
      <c r="E110" s="10"/>
      <c r="F110" s="7"/>
      <c r="G110" s="15"/>
      <c r="H110" s="15"/>
      <c r="I110" s="15"/>
    </row>
    <row r="111" ht="198.4" customHeight="true" spans="1:9">
      <c r="A111" s="7">
        <v>109</v>
      </c>
      <c r="B111" s="11"/>
      <c r="C111" s="9" t="s">
        <v>152</v>
      </c>
      <c r="D111" s="10" t="str">
        <f>_xlfn.DISPIMG("ID_44F0B06C708A47B3B118715D6635AB8D",1)</f>
        <v>=DISPIMG("ID_44F0B06C708A47B3B118715D6635AB8D",1)</v>
      </c>
      <c r="E111" s="10" t="str">
        <f>_xlfn.DISPIMG("ID_044BCF9634BB4E1F837C88F2E0A9D59B",1)</f>
        <v>=DISPIMG("ID_044BCF9634BB4E1F837C88F2E0A9D59B",1)</v>
      </c>
      <c r="F111" s="7"/>
      <c r="G111" s="15"/>
      <c r="H111" s="15"/>
      <c r="I111" s="15"/>
    </row>
    <row r="112" ht="198.4" customHeight="true" spans="1:9">
      <c r="A112" s="7">
        <v>110</v>
      </c>
      <c r="B112" s="11"/>
      <c r="C112" s="9" t="s">
        <v>153</v>
      </c>
      <c r="D112" s="10" t="str">
        <f>_xlfn.DISPIMG("ID_12C4785573DF47CAADB4270ABD58B59C",1)</f>
        <v>=DISPIMG("ID_12C4785573DF47CAADB4270ABD58B59C",1)</v>
      </c>
      <c r="E112" s="10" t="str">
        <f>_xlfn.DISPIMG("ID_0F98F30EC96346CF961A4570C127AFE4",1)</f>
        <v>=DISPIMG("ID_0F98F30EC96346CF961A4570C127AFE4",1)</v>
      </c>
      <c r="F112" s="7"/>
      <c r="G112" s="15"/>
      <c r="H112" s="15"/>
      <c r="I112" s="15"/>
    </row>
    <row r="113" ht="198.4" customHeight="true" spans="1:9">
      <c r="A113" s="7">
        <v>111</v>
      </c>
      <c r="B113" s="9" t="s">
        <v>154</v>
      </c>
      <c r="C113" s="9" t="s">
        <v>155</v>
      </c>
      <c r="D113" s="10" t="str">
        <f>_xlfn.DISPIMG("ID_A592F74BE48747E2A56AD829C76CBC04",1)</f>
        <v>=DISPIMG("ID_A592F74BE48747E2A56AD829C76CBC04",1)</v>
      </c>
      <c r="E113" s="10"/>
      <c r="F113" s="7"/>
      <c r="G113" s="15"/>
      <c r="H113" s="15"/>
      <c r="I113" s="15"/>
    </row>
    <row r="114" ht="198.4" customHeight="true" spans="1:9">
      <c r="A114" s="7">
        <v>112</v>
      </c>
      <c r="B114" s="8" t="s">
        <v>156</v>
      </c>
      <c r="C114" s="9" t="s">
        <v>157</v>
      </c>
      <c r="D114" s="10" t="str">
        <f>_xlfn.DISPIMG("ID_AB5854B599104719B6A77D1FE1C4E6C4",1)</f>
        <v>=DISPIMG("ID_AB5854B599104719B6A77D1FE1C4E6C4",1)</v>
      </c>
      <c r="E114" s="10"/>
      <c r="F114" s="7"/>
      <c r="G114" s="15"/>
      <c r="H114" s="15"/>
      <c r="I114" s="15"/>
    </row>
    <row r="115" ht="198.4" customHeight="true" spans="1:9">
      <c r="A115" s="7">
        <v>113</v>
      </c>
      <c r="B115" s="11"/>
      <c r="C115" s="9" t="s">
        <v>158</v>
      </c>
      <c r="D115" s="10" t="str">
        <f>_xlfn.DISPIMG("ID_F547F4917AA7461CB7C25E7F3A06A7E3",1)</f>
        <v>=DISPIMG("ID_F547F4917AA7461CB7C25E7F3A06A7E3",1)</v>
      </c>
      <c r="E115" s="10"/>
      <c r="F115" s="7"/>
      <c r="G115" s="15"/>
      <c r="H115" s="15"/>
      <c r="I115" s="15"/>
    </row>
    <row r="116" ht="198.4" customHeight="true" spans="1:9">
      <c r="A116" s="7">
        <v>114</v>
      </c>
      <c r="B116" s="11"/>
      <c r="C116" s="9" t="s">
        <v>159</v>
      </c>
      <c r="D116" s="10" t="str">
        <f>_xlfn.DISPIMG("ID_485DED6B206B4907B915627AFCCC5565",1)</f>
        <v>=DISPIMG("ID_485DED6B206B4907B915627AFCCC5565",1)</v>
      </c>
      <c r="E116" s="10" t="str">
        <f>_xlfn.DISPIMG("ID_7E7977E2851545A18DAB35F5C6FCA0BE",1)</f>
        <v>=DISPIMG("ID_7E7977E2851545A18DAB35F5C6FCA0BE",1)</v>
      </c>
      <c r="F116" s="7"/>
      <c r="G116" s="15"/>
      <c r="H116" s="15"/>
      <c r="I116" s="15"/>
    </row>
    <row r="117" ht="198.4" customHeight="true" spans="1:9">
      <c r="A117" s="7">
        <v>115</v>
      </c>
      <c r="B117" s="8" t="s">
        <v>160</v>
      </c>
      <c r="C117" s="9" t="s">
        <v>161</v>
      </c>
      <c r="D117" s="10" t="str">
        <f>_xlfn.DISPIMG("ID_398E880B351E4C7EB33A4FADBF03F30B",1)</f>
        <v>=DISPIMG("ID_398E880B351E4C7EB33A4FADBF03F30B",1)</v>
      </c>
      <c r="E117" s="10"/>
      <c r="F117" s="7"/>
      <c r="G117" s="15"/>
      <c r="H117" s="15"/>
      <c r="I117" s="15"/>
    </row>
    <row r="118" ht="198.4" customHeight="true" spans="1:9">
      <c r="A118" s="7">
        <v>116</v>
      </c>
      <c r="B118" s="11"/>
      <c r="C118" s="9" t="s">
        <v>162</v>
      </c>
      <c r="D118" s="10" t="str">
        <f>_xlfn.DISPIMG("ID_EEB0796E8DD94EEFA834F8F1286DE50B",1)</f>
        <v>=DISPIMG("ID_EEB0796E8DD94EEFA834F8F1286DE50B",1)</v>
      </c>
      <c r="E118" s="10"/>
      <c r="F118" s="7"/>
      <c r="G118" s="15"/>
      <c r="H118" s="15"/>
      <c r="I118" s="15"/>
    </row>
    <row r="119" ht="198.4" customHeight="true" spans="1:9">
      <c r="A119" s="7">
        <v>117</v>
      </c>
      <c r="B119" s="11"/>
      <c r="C119" s="9" t="s">
        <v>163</v>
      </c>
      <c r="D119" s="10" t="str">
        <f>_xlfn.DISPIMG("ID_D5AF338FEEDC4F0E8391DAE49BF8F8F5",1)</f>
        <v>=DISPIMG("ID_D5AF338FEEDC4F0E8391DAE49BF8F8F5",1)</v>
      </c>
      <c r="E119" s="10" t="str">
        <f>_xlfn.DISPIMG("ID_0D4CE4F891BC450DA7154F2BCBEF1628",1)</f>
        <v>=DISPIMG("ID_0D4CE4F891BC450DA7154F2BCBEF1628",1)</v>
      </c>
      <c r="F119" s="7"/>
      <c r="G119" s="15"/>
      <c r="H119" s="15"/>
      <c r="I119" s="15"/>
    </row>
    <row r="120" ht="198.4" customHeight="true" spans="1:9">
      <c r="A120" s="7">
        <v>118</v>
      </c>
      <c r="B120" s="11"/>
      <c r="C120" s="9" t="s">
        <v>164</v>
      </c>
      <c r="D120" s="10" t="str">
        <f>_xlfn.DISPIMG("ID_FB85FB172640478C94F53B859A09BF76",1)</f>
        <v>=DISPIMG("ID_FB85FB172640478C94F53B859A09BF76",1)</v>
      </c>
      <c r="E120" s="10" t="str">
        <f>_xlfn.DISPIMG("ID_B968156B0AB143718DF4E94FFF9F3F72",1)</f>
        <v>=DISPIMG("ID_B968156B0AB143718DF4E94FFF9F3F72",1)</v>
      </c>
      <c r="F120" s="7"/>
      <c r="G120" s="15"/>
      <c r="H120" s="15"/>
      <c r="I120" s="15"/>
    </row>
    <row r="121" ht="198.4" customHeight="true" spans="1:9">
      <c r="A121" s="7">
        <v>119</v>
      </c>
      <c r="B121" s="11"/>
      <c r="C121" s="9" t="s">
        <v>165</v>
      </c>
      <c r="D121" s="10" t="str">
        <f>_xlfn.DISPIMG("ID_AB404E5F6740416289788A606A28A194",1)</f>
        <v>=DISPIMG("ID_AB404E5F6740416289788A606A28A194",1)</v>
      </c>
      <c r="E121" s="10" t="str">
        <f>_xlfn.DISPIMG("ID_330675BC0BD049EF9DA5572358190A90",1)</f>
        <v>=DISPIMG("ID_330675BC0BD049EF9DA5572358190A90",1)</v>
      </c>
      <c r="F121" s="7"/>
      <c r="G121" s="15"/>
      <c r="H121" s="15"/>
      <c r="I121" s="15"/>
    </row>
    <row r="122" ht="198.4" customHeight="true" spans="1:9">
      <c r="A122" s="7">
        <v>120</v>
      </c>
      <c r="B122" s="11"/>
      <c r="C122" s="9" t="s">
        <v>166</v>
      </c>
      <c r="D122" s="10" t="str">
        <f>_xlfn.DISPIMG("ID_AF447885E892404195E01CEF2857D15E",1)</f>
        <v>=DISPIMG("ID_AF447885E892404195E01CEF2857D15E",1)</v>
      </c>
      <c r="E122" s="10" t="str">
        <f>_xlfn.DISPIMG("ID_ED7661C8B5AE42BAB5043B22513A4F12",1)</f>
        <v>=DISPIMG("ID_ED7661C8B5AE42BAB5043B22513A4F12",1)</v>
      </c>
      <c r="F122" s="7"/>
      <c r="G122" s="15"/>
      <c r="H122" s="15"/>
      <c r="I122" s="15"/>
    </row>
    <row r="123" ht="198.4" customHeight="true" spans="1:9">
      <c r="A123" s="7">
        <v>121</v>
      </c>
      <c r="B123" s="8" t="s">
        <v>167</v>
      </c>
      <c r="C123" s="9" t="s">
        <v>168</v>
      </c>
      <c r="D123" s="10" t="str">
        <f>_xlfn.DISPIMG("ID_E6BC1CCED38C461294683448441BF312",1)</f>
        <v>=DISPIMG("ID_E6BC1CCED38C461294683448441BF312",1)</v>
      </c>
      <c r="E123" s="10" t="str">
        <f>_xlfn.DISPIMG("ID_FD11328A1E7B4852B8BE4594E71EA086",1)</f>
        <v>=DISPIMG("ID_FD11328A1E7B4852B8BE4594E71EA086",1)</v>
      </c>
      <c r="F123" s="7"/>
      <c r="G123" s="15"/>
      <c r="H123" s="15"/>
      <c r="I123" s="15"/>
    </row>
    <row r="124" ht="198.4" customHeight="true" spans="1:9">
      <c r="A124" s="7">
        <v>122</v>
      </c>
      <c r="B124" s="11"/>
      <c r="C124" s="9" t="s">
        <v>169</v>
      </c>
      <c r="D124" s="10" t="str">
        <f>_xlfn.DISPIMG("ID_27AFEA13EEE4402EB0FB8BFA2E5A9F58",1)</f>
        <v>=DISPIMG("ID_27AFEA13EEE4402EB0FB8BFA2E5A9F58",1)</v>
      </c>
      <c r="E124" s="10" t="str">
        <f>_xlfn.DISPIMG("ID_627AFCE3C1BC4588996B8521DAD66F36",1)</f>
        <v>=DISPIMG("ID_627AFCE3C1BC4588996B8521DAD66F36",1)</v>
      </c>
      <c r="F124" s="7"/>
      <c r="G124" s="15"/>
      <c r="H124" s="15"/>
      <c r="I124" s="15"/>
    </row>
    <row r="125" ht="198.4" customHeight="true" spans="1:9">
      <c r="A125" s="7">
        <v>123</v>
      </c>
      <c r="B125" s="11"/>
      <c r="C125" s="9" t="s">
        <v>170</v>
      </c>
      <c r="D125" s="10" t="str">
        <f>_xlfn.DISPIMG("ID_5BAF68AD39894EC39A28BC219DC3937D",1)</f>
        <v>=DISPIMG("ID_5BAF68AD39894EC39A28BC219DC3937D",1)</v>
      </c>
      <c r="E125" s="10" t="str">
        <f>_xlfn.DISPIMG("ID_8B0F1339DE4E4B16BDCA7CF04E4C73C9",1)</f>
        <v>=DISPIMG("ID_8B0F1339DE4E4B16BDCA7CF04E4C73C9",1)</v>
      </c>
      <c r="F125" s="7"/>
      <c r="G125" s="15"/>
      <c r="H125" s="15"/>
      <c r="I125" s="15"/>
    </row>
    <row r="126" ht="198.4" customHeight="true" spans="1:9">
      <c r="A126" s="7">
        <v>124</v>
      </c>
      <c r="B126" s="11"/>
      <c r="C126" s="9" t="s">
        <v>171</v>
      </c>
      <c r="D126" s="10" t="str">
        <f>_xlfn.DISPIMG("ID_EA46F9476FBB4B43A6E65273C1FDAAD0",1)</f>
        <v>=DISPIMG("ID_EA46F9476FBB4B43A6E65273C1FDAAD0",1)</v>
      </c>
      <c r="E126" s="10"/>
      <c r="F126" s="7"/>
      <c r="G126" s="15"/>
      <c r="H126" s="15"/>
      <c r="I126" s="15"/>
    </row>
    <row r="127" ht="198.4" customHeight="true" spans="1:9">
      <c r="A127" s="7">
        <v>125</v>
      </c>
      <c r="B127" s="8" t="s">
        <v>172</v>
      </c>
      <c r="C127" s="9" t="s">
        <v>173</v>
      </c>
      <c r="D127" s="10" t="str">
        <f>_xlfn.DISPIMG("ID_DABCC9021E1048B39C033EC17B7D27C7",1)</f>
        <v>=DISPIMG("ID_DABCC9021E1048B39C033EC17B7D27C7",1)</v>
      </c>
      <c r="E127" s="10" t="str">
        <f>_xlfn.DISPIMG("ID_C0FC862E64A54636A41AD74EE325C60E",1)</f>
        <v>=DISPIMG("ID_C0FC862E64A54636A41AD74EE325C60E",1)</v>
      </c>
      <c r="F127" s="7"/>
      <c r="G127" s="15"/>
      <c r="H127" s="15"/>
      <c r="I127" s="15"/>
    </row>
    <row r="128" ht="198.4" customHeight="true" spans="1:9">
      <c r="A128" s="7">
        <v>126</v>
      </c>
      <c r="B128" s="11"/>
      <c r="C128" s="9" t="s">
        <v>174</v>
      </c>
      <c r="D128" s="10" t="str">
        <f>_xlfn.DISPIMG("ID_E4E02FAEAF034746A518D1A4AAA731E6",1)</f>
        <v>=DISPIMG("ID_E4E02FAEAF034746A518D1A4AAA731E6",1)</v>
      </c>
      <c r="E128" s="10" t="str">
        <f>_xlfn.DISPIMG("ID_74B59F9477744FCA8142530535AB22F8",1)</f>
        <v>=DISPIMG("ID_74B59F9477744FCA8142530535AB22F8",1)</v>
      </c>
      <c r="F128" s="7"/>
      <c r="G128" s="15"/>
      <c r="H128" s="15"/>
      <c r="I128" s="15"/>
    </row>
    <row r="129" ht="198.4" customHeight="true" spans="1:9">
      <c r="A129" s="7">
        <v>127</v>
      </c>
      <c r="B129" s="8" t="s">
        <v>175</v>
      </c>
      <c r="C129" s="9" t="s">
        <v>176</v>
      </c>
      <c r="D129" s="10" t="str">
        <f>_xlfn.DISPIMG("ID_439812B17FA04E60AB4CA96703B2F708",1)</f>
        <v>=DISPIMG("ID_439812B17FA04E60AB4CA96703B2F708",1)</v>
      </c>
      <c r="E129" s="10" t="str">
        <f>_xlfn.DISPIMG("ID_E6685098770A4B3EA6A6B1511DD081F6",1)</f>
        <v>=DISPIMG("ID_E6685098770A4B3EA6A6B1511DD081F6",1)</v>
      </c>
      <c r="F129" s="7"/>
      <c r="G129" s="15"/>
      <c r="H129" s="15"/>
      <c r="I129" s="15"/>
    </row>
    <row r="130" ht="198.4" customHeight="true" spans="1:9">
      <c r="A130" s="7">
        <v>128</v>
      </c>
      <c r="B130" s="11"/>
      <c r="C130" s="9" t="s">
        <v>177</v>
      </c>
      <c r="D130" s="10" t="str">
        <f>_xlfn.DISPIMG("ID_AEDB5A63190742C09824CF333306A47D",1)</f>
        <v>=DISPIMG("ID_AEDB5A63190742C09824CF333306A47D",1)</v>
      </c>
      <c r="E130" s="10" t="str">
        <f>_xlfn.DISPIMG("ID_3274F8313A064A87AD96D0E3FF3AB49D",1)</f>
        <v>=DISPIMG("ID_3274F8313A064A87AD96D0E3FF3AB49D",1)</v>
      </c>
      <c r="F130" s="7"/>
      <c r="G130" s="15"/>
      <c r="H130" s="15"/>
      <c r="I130" s="15"/>
    </row>
    <row r="131" ht="198.4" customHeight="true" spans="1:9">
      <c r="A131" s="7">
        <v>129</v>
      </c>
      <c r="B131" s="11"/>
      <c r="C131" s="9" t="s">
        <v>178</v>
      </c>
      <c r="D131" s="10" t="str">
        <f>_xlfn.DISPIMG("ID_B1364F6336EB4326B3F725711EB9EA6E",1)</f>
        <v>=DISPIMG("ID_B1364F6336EB4326B3F725711EB9EA6E",1)</v>
      </c>
      <c r="E131" s="10" t="str">
        <f>_xlfn.DISPIMG("ID_39269E2B6FC4472A9B39E097DE6F0ACF",1)</f>
        <v>=DISPIMG("ID_39269E2B6FC4472A9B39E097DE6F0ACF",1)</v>
      </c>
      <c r="F131" s="7"/>
      <c r="G131" s="15"/>
      <c r="H131" s="15"/>
      <c r="I131" s="15"/>
    </row>
    <row r="132" ht="198.4" customHeight="true" spans="1:9">
      <c r="A132" s="7">
        <v>130</v>
      </c>
      <c r="B132" s="11"/>
      <c r="C132" s="9" t="s">
        <v>179</v>
      </c>
      <c r="D132" s="10" t="str">
        <f>_xlfn.DISPIMG("ID_A5F2167A6636400187889E7ED005595E",1)</f>
        <v>=DISPIMG("ID_A5F2167A6636400187889E7ED005595E",1)</v>
      </c>
      <c r="E132" s="10" t="str">
        <f>_xlfn.DISPIMG("ID_78AD0DD48E2744F28AC568DE7E8373E5",1)</f>
        <v>=DISPIMG("ID_78AD0DD48E2744F28AC568DE7E8373E5",1)</v>
      </c>
      <c r="F132" s="7"/>
      <c r="G132" s="15"/>
      <c r="H132" s="15"/>
      <c r="I132" s="15"/>
    </row>
    <row r="133" ht="198.4" customHeight="true" spans="1:9">
      <c r="A133" s="7">
        <v>131</v>
      </c>
      <c r="B133" s="11"/>
      <c r="C133" s="9" t="s">
        <v>180</v>
      </c>
      <c r="D133" s="10" t="str">
        <f>_xlfn.DISPIMG("ID_89C7FE8C49AD406B981B0036903559BB",1)</f>
        <v>=DISPIMG("ID_89C7FE8C49AD406B981B0036903559BB",1)</v>
      </c>
      <c r="E133" s="10" t="str">
        <f>_xlfn.DISPIMG("ID_76FA58A17F0F4F92889222752B367494",1)</f>
        <v>=DISPIMG("ID_76FA58A17F0F4F92889222752B367494",1)</v>
      </c>
      <c r="F133" s="7"/>
      <c r="G133" s="15"/>
      <c r="H133" s="15"/>
      <c r="I133" s="15"/>
    </row>
    <row r="134" ht="198.4" customHeight="true" spans="1:9">
      <c r="A134" s="7">
        <v>132</v>
      </c>
      <c r="B134" s="8" t="s">
        <v>181</v>
      </c>
      <c r="C134" s="9" t="s">
        <v>182</v>
      </c>
      <c r="D134" s="10" t="str">
        <f>_xlfn.DISPIMG("ID_4F23ACB2013F48148819B314A8FDA435",1)</f>
        <v>=DISPIMG("ID_4F23ACB2013F48148819B314A8FDA435",1)</v>
      </c>
      <c r="E134" s="10"/>
      <c r="F134" s="7"/>
      <c r="G134" s="15"/>
      <c r="H134" s="15"/>
      <c r="I134" s="15"/>
    </row>
    <row r="135" ht="198.4" customHeight="true" spans="1:9">
      <c r="A135" s="7">
        <v>133</v>
      </c>
      <c r="B135" s="11"/>
      <c r="C135" s="9" t="s">
        <v>183</v>
      </c>
      <c r="D135" s="10" t="str">
        <f>_xlfn.DISPIMG("ID_0527A19DFED94EDD9483DA3B21954272",1)</f>
        <v>=DISPIMG("ID_0527A19DFED94EDD9483DA3B21954272",1)</v>
      </c>
      <c r="E135" s="10"/>
      <c r="F135" s="7"/>
      <c r="G135" s="15"/>
      <c r="H135" s="15"/>
      <c r="I135" s="15"/>
    </row>
    <row r="136" ht="198.4" customHeight="true" spans="1:9">
      <c r="A136" s="7">
        <v>134</v>
      </c>
      <c r="B136" s="8" t="s">
        <v>184</v>
      </c>
      <c r="C136" s="9" t="s">
        <v>185</v>
      </c>
      <c r="D136" s="10" t="str">
        <f>_xlfn.DISPIMG("ID_CEEF703547D348268D9FA908138F8607",1)</f>
        <v>=DISPIMG("ID_CEEF703547D348268D9FA908138F8607",1)</v>
      </c>
      <c r="E136" s="10"/>
      <c r="F136" s="7"/>
      <c r="G136" s="15"/>
      <c r="H136" s="15"/>
      <c r="I136" s="15"/>
    </row>
    <row r="137" ht="198.4" customHeight="true" spans="1:9">
      <c r="A137" s="7">
        <v>135</v>
      </c>
      <c r="B137" s="11"/>
      <c r="C137" s="9" t="s">
        <v>186</v>
      </c>
      <c r="D137" s="10" t="str">
        <f>_xlfn.DISPIMG("ID_B7A61601BBC74797A6F645FF13528E69",1)</f>
        <v>=DISPIMG("ID_B7A61601BBC74797A6F645FF13528E69",1)</v>
      </c>
      <c r="E137" s="10"/>
      <c r="F137" s="7"/>
      <c r="G137" s="15"/>
      <c r="H137" s="15"/>
      <c r="I137" s="15"/>
    </row>
    <row r="138" ht="198.4" customHeight="true" spans="1:9">
      <c r="A138" s="7">
        <v>136</v>
      </c>
      <c r="B138" s="8" t="s">
        <v>187</v>
      </c>
      <c r="C138" s="9" t="s">
        <v>188</v>
      </c>
      <c r="D138" s="10" t="str">
        <f>_xlfn.DISPIMG("ID_CD42D9B733C74678902D248A88318CDD",1)</f>
        <v>=DISPIMG("ID_CD42D9B733C74678902D248A88318CDD",1)</v>
      </c>
      <c r="E138" s="10"/>
      <c r="F138" s="7"/>
      <c r="G138" s="15"/>
      <c r="H138" s="15"/>
      <c r="I138" s="15"/>
    </row>
    <row r="139" ht="198.4" customHeight="true" spans="1:9">
      <c r="A139" s="7">
        <v>137</v>
      </c>
      <c r="B139" s="11"/>
      <c r="C139" s="9" t="s">
        <v>189</v>
      </c>
      <c r="D139" s="10" t="str">
        <f>_xlfn.DISPIMG("ID_32B1536E54FE4882AC247035686CCA69",1)</f>
        <v>=DISPIMG("ID_32B1536E54FE4882AC247035686CCA69",1)</v>
      </c>
      <c r="E139" s="10" t="str">
        <f>_xlfn.DISPIMG("ID_5A10FBC1637E4D6C82475D0897FC17CD",1)</f>
        <v>=DISPIMG("ID_5A10FBC1637E4D6C82475D0897FC17CD",1)</v>
      </c>
      <c r="F139" s="7"/>
      <c r="G139" s="15"/>
      <c r="H139" s="15"/>
      <c r="I139" s="15"/>
    </row>
    <row r="140" ht="198.4" customHeight="true" spans="1:9">
      <c r="A140" s="7">
        <v>138</v>
      </c>
      <c r="B140" s="11"/>
      <c r="C140" s="9" t="s">
        <v>190</v>
      </c>
      <c r="D140" s="10" t="str">
        <f>_xlfn.DISPIMG("ID_8790C283F05F476CA41C8552462E63B4",1)</f>
        <v>=DISPIMG("ID_8790C283F05F476CA41C8552462E63B4",1)</v>
      </c>
      <c r="E140" s="10" t="str">
        <f>_xlfn.DISPIMG("ID_3F1C56A8A40742E98CECDE94F8730356",1)</f>
        <v>=DISPIMG("ID_3F1C56A8A40742E98CECDE94F8730356",1)</v>
      </c>
      <c r="F140" s="7"/>
      <c r="G140" s="15"/>
      <c r="H140" s="15"/>
      <c r="I140" s="15"/>
    </row>
    <row r="141" ht="198.4" customHeight="true" spans="1:9">
      <c r="A141" s="7">
        <v>139</v>
      </c>
      <c r="B141" s="11"/>
      <c r="C141" s="9" t="s">
        <v>191</v>
      </c>
      <c r="D141" s="10" t="str">
        <f>_xlfn.DISPIMG("ID_90F72CBA6BE14772A20351F6E9F932D4",1)</f>
        <v>=DISPIMG("ID_90F72CBA6BE14772A20351F6E9F932D4",1)</v>
      </c>
      <c r="E141" s="10" t="str">
        <f>_xlfn.DISPIMG("ID_EB0C4629F94B4E4795391E527C73CB70",1)</f>
        <v>=DISPIMG("ID_EB0C4629F94B4E4795391E527C73CB70",1)</v>
      </c>
      <c r="F141" s="7"/>
      <c r="G141" s="15"/>
      <c r="H141" s="15"/>
      <c r="I141" s="15"/>
    </row>
    <row r="142" ht="198.4" customHeight="true" spans="1:9">
      <c r="A142" s="7">
        <v>140</v>
      </c>
      <c r="B142" s="11"/>
      <c r="C142" s="9" t="s">
        <v>192</v>
      </c>
      <c r="D142" s="10" t="str">
        <f>_xlfn.DISPIMG("ID_EB69826BD08A4A158D68332B98273210",1)</f>
        <v>=DISPIMG("ID_EB69826BD08A4A158D68332B98273210",1)</v>
      </c>
      <c r="E142" s="10" t="str">
        <f>_xlfn.DISPIMG("ID_CC90BAAB65284A17A5E6C7CEAADB08B1",1)</f>
        <v>=DISPIMG("ID_CC90BAAB65284A17A5E6C7CEAADB08B1",1)</v>
      </c>
      <c r="F142" s="7"/>
      <c r="G142" s="15"/>
      <c r="H142" s="15"/>
      <c r="I142" s="15"/>
    </row>
    <row r="143" ht="198.4" customHeight="true" spans="1:9">
      <c r="A143" s="7">
        <v>141</v>
      </c>
      <c r="B143" s="8" t="s">
        <v>193</v>
      </c>
      <c r="C143" s="9" t="s">
        <v>194</v>
      </c>
      <c r="D143" s="10" t="str">
        <f>_xlfn.DISPIMG("ID_79540E9B4C434679BD61E41D4AAD8B7E",1)</f>
        <v>=DISPIMG("ID_79540E9B4C434679BD61E41D4AAD8B7E",1)</v>
      </c>
      <c r="E143" s="10" t="str">
        <f>_xlfn.DISPIMG("ID_72C579C2AB364F00B08A4DA632EDC7FF",1)</f>
        <v>=DISPIMG("ID_72C579C2AB364F00B08A4DA632EDC7FF",1)</v>
      </c>
      <c r="F143" s="7"/>
      <c r="G143" s="15"/>
      <c r="H143" s="15"/>
      <c r="I143" s="15"/>
    </row>
    <row r="144" ht="198.4" customHeight="true" spans="1:9">
      <c r="A144" s="7">
        <v>142</v>
      </c>
      <c r="B144" s="11"/>
      <c r="C144" s="9" t="s">
        <v>195</v>
      </c>
      <c r="D144" s="10" t="str">
        <f>_xlfn.DISPIMG("ID_B751AE85511B428A817793DAEF767EE3",1)</f>
        <v>=DISPIMG("ID_B751AE85511B428A817793DAEF767EE3",1)</v>
      </c>
      <c r="E144" s="10" t="str">
        <f>_xlfn.DISPIMG("ID_3C007C64F67341E983D8D52D42697EF5",1)</f>
        <v>=DISPIMG("ID_3C007C64F67341E983D8D52D42697EF5",1)</v>
      </c>
      <c r="F144" s="7"/>
      <c r="G144" s="15"/>
      <c r="H144" s="15"/>
      <c r="I144" s="15"/>
    </row>
    <row r="145" ht="198.4" customHeight="true" spans="1:9">
      <c r="A145" s="7">
        <v>143</v>
      </c>
      <c r="B145" s="11"/>
      <c r="C145" s="9" t="s">
        <v>196</v>
      </c>
      <c r="D145" s="10" t="str">
        <f>_xlfn.DISPIMG("ID_009B3D7BFEAC4253A8EE962A8552D2CD",1)</f>
        <v>=DISPIMG("ID_009B3D7BFEAC4253A8EE962A8552D2CD",1)</v>
      </c>
      <c r="E145" s="10" t="str">
        <f>_xlfn.DISPIMG("ID_B7D8B498F3E94743ACFF2DED9AC6342F",1)</f>
        <v>=DISPIMG("ID_B7D8B498F3E94743ACFF2DED9AC6342F",1)</v>
      </c>
      <c r="F145" s="7"/>
      <c r="G145" s="15"/>
      <c r="H145" s="15"/>
      <c r="I145" s="15"/>
    </row>
    <row r="146" ht="198.4" customHeight="true" spans="1:9">
      <c r="A146" s="7">
        <v>144</v>
      </c>
      <c r="B146" s="11"/>
      <c r="C146" s="9" t="s">
        <v>197</v>
      </c>
      <c r="D146" s="10" t="str">
        <f>_xlfn.DISPIMG("ID_5CAFDBCD42BF4EFB885F4FA0B8440A44",1)</f>
        <v>=DISPIMG("ID_5CAFDBCD42BF4EFB885F4FA0B8440A44",1)</v>
      </c>
      <c r="E146" s="10" t="str">
        <f>_xlfn.DISPIMG("ID_6B6419B294664EC58B3191FA1D23FE87",1)</f>
        <v>=DISPIMG("ID_6B6419B294664EC58B3191FA1D23FE87",1)</v>
      </c>
      <c r="F146" s="7"/>
      <c r="G146" s="15"/>
      <c r="H146" s="15"/>
      <c r="I146" s="15"/>
    </row>
    <row r="147" ht="198.4" customHeight="true" spans="1:9">
      <c r="A147" s="7">
        <v>145</v>
      </c>
      <c r="B147" s="11"/>
      <c r="C147" s="9" t="s">
        <v>198</v>
      </c>
      <c r="D147" s="10" t="str">
        <f>_xlfn.DISPIMG("ID_268708D93A404DF48A61DD0F4C0FA9D9",1)</f>
        <v>=DISPIMG("ID_268708D93A404DF48A61DD0F4C0FA9D9",1)</v>
      </c>
      <c r="E147" s="10" t="str">
        <f>_xlfn.DISPIMG("ID_4F21366317274ED88D728C4CDB3BCDC2",1)</f>
        <v>=DISPIMG("ID_4F21366317274ED88D728C4CDB3BCDC2",1)</v>
      </c>
      <c r="F147" s="7"/>
      <c r="G147" s="15"/>
      <c r="H147" s="15"/>
      <c r="I147" s="15"/>
    </row>
    <row r="148" ht="198.4" customHeight="true" spans="1:9">
      <c r="A148" s="7">
        <v>146</v>
      </c>
      <c r="B148" s="8" t="s">
        <v>199</v>
      </c>
      <c r="C148" s="9" t="s">
        <v>200</v>
      </c>
      <c r="D148" s="10" t="str">
        <f>_xlfn.DISPIMG("ID_7CAA7F871FAE490CA18B56506C78A958",1)</f>
        <v>=DISPIMG("ID_7CAA7F871FAE490CA18B56506C78A958",1)</v>
      </c>
      <c r="E148" s="10" t="str">
        <f>_xlfn.DISPIMG("ID_BEC93D8653D041F68B603039BDC457E2",1)</f>
        <v>=DISPIMG("ID_BEC93D8653D041F68B603039BDC457E2",1)</v>
      </c>
      <c r="F148" s="7"/>
      <c r="G148" s="15"/>
      <c r="H148" s="15"/>
      <c r="I148" s="15"/>
    </row>
    <row r="149" ht="198.4" customHeight="true" spans="1:9">
      <c r="A149" s="7">
        <v>147</v>
      </c>
      <c r="B149" s="11"/>
      <c r="C149" s="9" t="s">
        <v>201</v>
      </c>
      <c r="D149" s="10" t="str">
        <f>_xlfn.DISPIMG("ID_4A51F10E9A0A4E2490B3B1886828E53F",1)</f>
        <v>=DISPIMG("ID_4A51F10E9A0A4E2490B3B1886828E53F",1)</v>
      </c>
      <c r="E149" s="10" t="str">
        <f>_xlfn.DISPIMG("ID_61CF88F482B243E9B35594E7527C4B73",1)</f>
        <v>=DISPIMG("ID_61CF88F482B243E9B35594E7527C4B73",1)</v>
      </c>
      <c r="F149" s="7"/>
      <c r="G149" s="15"/>
      <c r="H149" s="15"/>
      <c r="I149" s="15"/>
    </row>
    <row r="150" ht="198.4" customHeight="true" spans="1:9">
      <c r="A150" s="7">
        <v>148</v>
      </c>
      <c r="B150" s="11"/>
      <c r="C150" s="9" t="s">
        <v>202</v>
      </c>
      <c r="D150" s="10" t="str">
        <f>_xlfn.DISPIMG("ID_57EA1CB59E07449E9E3F893402F663F9",1)</f>
        <v>=DISPIMG("ID_57EA1CB59E07449E9E3F893402F663F9",1)</v>
      </c>
      <c r="E150" s="10" t="str">
        <f>_xlfn.DISPIMG("ID_AC335282734243B4AD96200CBABAAB01",1)</f>
        <v>=DISPIMG("ID_AC335282734243B4AD96200CBABAAB01",1)</v>
      </c>
      <c r="F150" s="7"/>
      <c r="G150" s="15"/>
      <c r="H150" s="15"/>
      <c r="I150" s="15"/>
    </row>
    <row r="151" ht="198.4" customHeight="true" spans="1:9">
      <c r="A151" s="7">
        <v>149</v>
      </c>
      <c r="B151" s="8" t="s">
        <v>203</v>
      </c>
      <c r="C151" s="9" t="s">
        <v>204</v>
      </c>
      <c r="D151" s="10" t="str">
        <f>_xlfn.DISPIMG("ID_44526E120BDF421A9573562BF375E2E9",1)</f>
        <v>=DISPIMG("ID_44526E120BDF421A9573562BF375E2E9",1)</v>
      </c>
      <c r="E151" s="10"/>
      <c r="F151" s="7"/>
      <c r="G151" s="15"/>
      <c r="H151" s="15"/>
      <c r="I151" s="15"/>
    </row>
    <row r="152" ht="198.4" customHeight="true" spans="1:9">
      <c r="A152" s="7">
        <v>150</v>
      </c>
      <c r="B152" s="11"/>
      <c r="C152" s="9" t="s">
        <v>205</v>
      </c>
      <c r="D152" s="10" t="str">
        <f>_xlfn.DISPIMG("ID_D8DC149DFD0140F3B2C518A5B5518291",1)</f>
        <v>=DISPIMG("ID_D8DC149DFD0140F3B2C518A5B5518291",1)</v>
      </c>
      <c r="E152" s="10" t="str">
        <f>_xlfn.DISPIMG("ID_519C18EC59834AE6B54D6F1DA92B62ED",1)</f>
        <v>=DISPIMG("ID_519C18EC59834AE6B54D6F1DA92B62ED",1)</v>
      </c>
      <c r="F152" s="7"/>
      <c r="G152" s="15"/>
      <c r="H152" s="15"/>
      <c r="I152" s="15"/>
    </row>
    <row r="153" ht="198.4" customHeight="true" spans="1:9">
      <c r="A153" s="7">
        <v>151</v>
      </c>
      <c r="B153" s="8" t="s">
        <v>206</v>
      </c>
      <c r="C153" s="9" t="s">
        <v>207</v>
      </c>
      <c r="D153" s="10" t="str">
        <f>_xlfn.DISPIMG("ID_1340269D56CD4539909D2DA8D9BCE76C",1)</f>
        <v>=DISPIMG("ID_1340269D56CD4539909D2DA8D9BCE76C",1)</v>
      </c>
      <c r="E153" s="10"/>
      <c r="F153" s="7"/>
      <c r="G153" s="15"/>
      <c r="H153" s="15"/>
      <c r="I153" s="15"/>
    </row>
    <row r="154" ht="198.4" customHeight="true" spans="1:9">
      <c r="A154" s="7">
        <v>152</v>
      </c>
      <c r="B154" s="11"/>
      <c r="C154" s="9" t="s">
        <v>208</v>
      </c>
      <c r="D154" s="10" t="str">
        <f>_xlfn.DISPIMG("ID_9EC662112BAC4E82BC04FBC45CDBA10B",1)</f>
        <v>=DISPIMG("ID_9EC662112BAC4E82BC04FBC45CDBA10B",1)</v>
      </c>
      <c r="E154" s="10" t="str">
        <f>_xlfn.DISPIMG("ID_04B87C65B4DA44F382654008573BF690",1)</f>
        <v>=DISPIMG("ID_04B87C65B4DA44F382654008573BF690",1)</v>
      </c>
      <c r="F154" s="7"/>
      <c r="G154" s="15"/>
      <c r="H154" s="15"/>
      <c r="I154" s="15"/>
    </row>
    <row r="155" ht="198.4" customHeight="true" spans="1:9">
      <c r="A155" s="7">
        <v>153</v>
      </c>
      <c r="B155" s="11"/>
      <c r="C155" s="9" t="s">
        <v>209</v>
      </c>
      <c r="D155" s="10" t="str">
        <f>_xlfn.DISPIMG("ID_5ACC180F2C9348EAAE50CF1F0D03DB04",1)</f>
        <v>=DISPIMG("ID_5ACC180F2C9348EAAE50CF1F0D03DB04",1)</v>
      </c>
      <c r="E155" s="10" t="str">
        <f>_xlfn.DISPIMG("ID_01EB33BBE3E247A69225B8E86635C17A",1)</f>
        <v>=DISPIMG("ID_01EB33BBE3E247A69225B8E86635C17A",1)</v>
      </c>
      <c r="F155" s="7"/>
      <c r="G155" s="15"/>
      <c r="H155" s="15"/>
      <c r="I155" s="15"/>
    </row>
    <row r="156" ht="198.4" customHeight="true" spans="1:9">
      <c r="A156" s="7">
        <v>154</v>
      </c>
      <c r="B156" s="9" t="s">
        <v>210</v>
      </c>
      <c r="C156" s="9" t="s">
        <v>211</v>
      </c>
      <c r="D156" s="10" t="str">
        <f>_xlfn.DISPIMG("ID_62EBDD82B8AB476CB0EF2F0ADEBB6E12",1)</f>
        <v>=DISPIMG("ID_62EBDD82B8AB476CB0EF2F0ADEBB6E12",1)</v>
      </c>
      <c r="E156" s="10"/>
      <c r="F156" s="7"/>
      <c r="G156" s="15"/>
      <c r="H156" s="15"/>
      <c r="I156" s="15"/>
    </row>
    <row r="157" ht="198.4" customHeight="true" spans="1:9">
      <c r="A157" s="7">
        <v>155</v>
      </c>
      <c r="B157" s="8" t="s">
        <v>212</v>
      </c>
      <c r="C157" s="9" t="s">
        <v>213</v>
      </c>
      <c r="D157" s="10" t="str">
        <f>_xlfn.DISPIMG("ID_157F30A8F4F540B19A3F131FFCDDFB2B",1)</f>
        <v>=DISPIMG("ID_157F30A8F4F540B19A3F131FFCDDFB2B",1)</v>
      </c>
      <c r="E157" s="10" t="str">
        <f>_xlfn.DISPIMG("ID_9E31E935713B48E98A6E9A96349E1721",1)</f>
        <v>=DISPIMG("ID_9E31E935713B48E98A6E9A96349E1721",1)</v>
      </c>
      <c r="F157" s="7"/>
      <c r="G157" s="15"/>
      <c r="H157" s="15"/>
      <c r="I157" s="15"/>
    </row>
    <row r="158" ht="198.4" customHeight="true" spans="1:9">
      <c r="A158" s="7">
        <v>156</v>
      </c>
      <c r="B158" s="11"/>
      <c r="C158" s="9" t="s">
        <v>214</v>
      </c>
      <c r="D158" s="10" t="str">
        <f>_xlfn.DISPIMG("ID_8BEBB00D7302410BA10E65718D89C728",1)</f>
        <v>=DISPIMG("ID_8BEBB00D7302410BA10E65718D89C728",1)</v>
      </c>
      <c r="E158" s="10" t="str">
        <f>_xlfn.DISPIMG("ID_DE0C50BF61794861AAB7B45B73E0C131",1)</f>
        <v>=DISPIMG("ID_DE0C50BF61794861AAB7B45B73E0C131",1)</v>
      </c>
      <c r="F158" s="7"/>
      <c r="G158" s="15"/>
      <c r="H158" s="15"/>
      <c r="I158" s="15"/>
    </row>
    <row r="159" ht="198.4" customHeight="true" spans="1:9">
      <c r="A159" s="7">
        <v>157</v>
      </c>
      <c r="B159" s="11"/>
      <c r="C159" s="9" t="s">
        <v>215</v>
      </c>
      <c r="D159" s="10" t="str">
        <f>_xlfn.DISPIMG("ID_587B35F1BA85463AB4A167EDA5CC34DE",1)</f>
        <v>=DISPIMG("ID_587B35F1BA85463AB4A167EDA5CC34DE",1)</v>
      </c>
      <c r="E159" s="10" t="str">
        <f>_xlfn.DISPIMG("ID_0A8EEC37898D485DB1045B227A792603",1)</f>
        <v>=DISPIMG("ID_0A8EEC37898D485DB1045B227A792603",1)</v>
      </c>
      <c r="F159" s="7"/>
      <c r="G159" s="15"/>
      <c r="H159" s="15"/>
      <c r="I159" s="15"/>
    </row>
    <row r="160" ht="198.4" customHeight="true" spans="1:9">
      <c r="A160" s="7">
        <v>158</v>
      </c>
      <c r="B160" s="9" t="s">
        <v>216</v>
      </c>
      <c r="C160" s="9" t="s">
        <v>217</v>
      </c>
      <c r="D160" s="10" t="str">
        <f>_xlfn.DISPIMG("ID_1B00F4E69420446EBB107DCD0D62BB3F",1)</f>
        <v>=DISPIMG("ID_1B00F4E69420446EBB107DCD0D62BB3F",1)</v>
      </c>
      <c r="E160" s="10"/>
      <c r="F160" s="7"/>
      <c r="G160" s="15"/>
      <c r="H160" s="15"/>
      <c r="I160" s="15"/>
    </row>
    <row r="161" ht="198.4" customHeight="true" spans="1:9">
      <c r="A161" s="7">
        <v>159</v>
      </c>
      <c r="B161" s="8" t="s">
        <v>218</v>
      </c>
      <c r="C161" s="9" t="s">
        <v>219</v>
      </c>
      <c r="D161" s="10" t="str">
        <f>_xlfn.DISPIMG("ID_5CF5BA83604648AEAF5229D62A6BE8CB",1)</f>
        <v>=DISPIMG("ID_5CF5BA83604648AEAF5229D62A6BE8CB",1)</v>
      </c>
      <c r="E161" s="10"/>
      <c r="F161" s="7"/>
      <c r="G161" s="15"/>
      <c r="H161" s="15"/>
      <c r="I161" s="15"/>
    </row>
    <row r="162" ht="198.4" customHeight="true" spans="1:9">
      <c r="A162" s="7">
        <v>160</v>
      </c>
      <c r="B162" s="11"/>
      <c r="C162" s="9" t="s">
        <v>220</v>
      </c>
      <c r="D162" s="10" t="str">
        <f>_xlfn.DISPIMG("ID_9BE37BAD63814E84B3F5A8B64BAE8497",1)</f>
        <v>=DISPIMG("ID_9BE37BAD63814E84B3F5A8B64BAE8497",1)</v>
      </c>
      <c r="E162" s="10"/>
      <c r="F162" s="7"/>
      <c r="G162" s="15"/>
      <c r="H162" s="15"/>
      <c r="I162" s="15"/>
    </row>
    <row r="163" ht="198.4" customHeight="true" spans="1:9">
      <c r="A163" s="7">
        <v>161</v>
      </c>
      <c r="B163" s="11"/>
      <c r="C163" s="9" t="s">
        <v>221</v>
      </c>
      <c r="D163" s="10" t="str">
        <f>_xlfn.DISPIMG("ID_BE2DDFDCE1DB4593942A2BB804C2BEF2",1)</f>
        <v>=DISPIMG("ID_BE2DDFDCE1DB4593942A2BB804C2BEF2",1)</v>
      </c>
      <c r="E163" s="10" t="str">
        <f>_xlfn.DISPIMG("ID_FA6B4DD32A5343E49937B28B8454FA12",1)</f>
        <v>=DISPIMG("ID_FA6B4DD32A5343E49937B28B8454FA12",1)</v>
      </c>
      <c r="F163" s="7"/>
      <c r="G163" s="15"/>
      <c r="H163" s="15"/>
      <c r="I163" s="15"/>
    </row>
    <row r="164" ht="198.4" customHeight="true" spans="1:9">
      <c r="A164" s="7">
        <v>162</v>
      </c>
      <c r="B164" s="8" t="s">
        <v>222</v>
      </c>
      <c r="C164" s="9" t="s">
        <v>223</v>
      </c>
      <c r="D164" s="10" t="str">
        <f>_xlfn.DISPIMG("ID_9A80765AF79D44FF97CEF7A53B4D3583",1)</f>
        <v>=DISPIMG("ID_9A80765AF79D44FF97CEF7A53B4D3583",1)</v>
      </c>
      <c r="E164" s="10"/>
      <c r="F164" s="7"/>
      <c r="G164" s="15"/>
      <c r="H164" s="15"/>
      <c r="I164" s="15"/>
    </row>
    <row r="165" ht="198.4" customHeight="true" spans="1:9">
      <c r="A165" s="7">
        <v>163</v>
      </c>
      <c r="B165" s="11"/>
      <c r="C165" s="9" t="s">
        <v>224</v>
      </c>
      <c r="D165" s="10" t="str">
        <f>_xlfn.DISPIMG("ID_12D5071D0960414CAF771EABA0BFE1F4",1)</f>
        <v>=DISPIMG("ID_12D5071D0960414CAF771EABA0BFE1F4",1)</v>
      </c>
      <c r="E165" s="10" t="str">
        <f>_xlfn.DISPIMG("ID_851C1B4DBC3D474D88ACFD8A960D1FB1",1)</f>
        <v>=DISPIMG("ID_851C1B4DBC3D474D88ACFD8A960D1FB1",1)</v>
      </c>
      <c r="F165" s="7"/>
      <c r="G165" s="15"/>
      <c r="H165" s="15"/>
      <c r="I165" s="15"/>
    </row>
    <row r="166" ht="198.4" customHeight="true" spans="1:9">
      <c r="A166" s="7">
        <v>164</v>
      </c>
      <c r="B166" s="11"/>
      <c r="C166" s="9" t="s">
        <v>225</v>
      </c>
      <c r="D166" s="10" t="str">
        <f>_xlfn.DISPIMG("ID_4791F848DB8E4AC7B1CCA31099B9A267",1)</f>
        <v>=DISPIMG("ID_4791F848DB8E4AC7B1CCA31099B9A267",1)</v>
      </c>
      <c r="E166" s="10" t="str">
        <f>_xlfn.DISPIMG("ID_5C409250EE634DE2AA573F631ADAE2E2",1)</f>
        <v>=DISPIMG("ID_5C409250EE634DE2AA573F631ADAE2E2",1)</v>
      </c>
      <c r="F166" s="7"/>
      <c r="G166" s="15"/>
      <c r="H166" s="15"/>
      <c r="I166" s="15"/>
    </row>
    <row r="167" ht="198.4" customHeight="true" spans="1:9">
      <c r="A167" s="7">
        <v>165</v>
      </c>
      <c r="B167" s="11"/>
      <c r="C167" s="9" t="s">
        <v>226</v>
      </c>
      <c r="D167" s="10" t="str">
        <f>_xlfn.DISPIMG("ID_BE9BABB1523A4BCD97FC301A5C90A67F",1)</f>
        <v>=DISPIMG("ID_BE9BABB1523A4BCD97FC301A5C90A67F",1)</v>
      </c>
      <c r="E167" s="10" t="str">
        <f>_xlfn.DISPIMG("ID_F3E9D3BB88D34A9CB2DE6BF8B1A10D99",1)</f>
        <v>=DISPIMG("ID_F3E9D3BB88D34A9CB2DE6BF8B1A10D99",1)</v>
      </c>
      <c r="F167" s="7"/>
      <c r="G167" s="15"/>
      <c r="H167" s="15"/>
      <c r="I167" s="15"/>
    </row>
    <row r="168" ht="198.4" customHeight="true" spans="1:9">
      <c r="A168" s="7">
        <v>166</v>
      </c>
      <c r="B168" s="11"/>
      <c r="C168" s="9" t="s">
        <v>227</v>
      </c>
      <c r="D168" s="10" t="str">
        <f>_xlfn.DISPIMG("ID_6D7A100C89054DD3ADCDDF614F08585C",1)</f>
        <v>=DISPIMG("ID_6D7A100C89054DD3ADCDDF614F08585C",1)</v>
      </c>
      <c r="E168" s="10" t="str">
        <f>_xlfn.DISPIMG("ID_CF97576A5AC846EB8AB2856F0465BD84",1)</f>
        <v>=DISPIMG("ID_CF97576A5AC846EB8AB2856F0465BD84",1)</v>
      </c>
      <c r="F168" s="7"/>
      <c r="G168" s="15"/>
      <c r="H168" s="15"/>
      <c r="I168" s="15"/>
    </row>
    <row r="169" ht="198.4" customHeight="true" spans="1:9">
      <c r="A169" s="7">
        <v>167</v>
      </c>
      <c r="B169" s="11"/>
      <c r="C169" s="9" t="s">
        <v>228</v>
      </c>
      <c r="D169" s="10" t="str">
        <f>_xlfn.DISPIMG("ID_207BDED636D6439B9ED8D26D2A102480",1)</f>
        <v>=DISPIMG("ID_207BDED636D6439B9ED8D26D2A102480",1)</v>
      </c>
      <c r="E169" s="10" t="str">
        <f>_xlfn.DISPIMG("ID_2853F763E68340739F8B7F04DEBFAF06",1)</f>
        <v>=DISPIMG("ID_2853F763E68340739F8B7F04DEBFAF06",1)</v>
      </c>
      <c r="F169" s="7"/>
      <c r="G169" s="15"/>
      <c r="H169" s="15"/>
      <c r="I169" s="15"/>
    </row>
    <row r="170" ht="198.4" customHeight="true" spans="1:9">
      <c r="A170" s="7">
        <v>168</v>
      </c>
      <c r="B170" s="11"/>
      <c r="C170" s="9" t="s">
        <v>229</v>
      </c>
      <c r="D170" s="10" t="str">
        <f>_xlfn.DISPIMG("ID_FD57D0786964421E93D2399A28187E1A",1)</f>
        <v>=DISPIMG("ID_FD57D0786964421E93D2399A28187E1A",1)</v>
      </c>
      <c r="E170" s="10" t="str">
        <f>_xlfn.DISPIMG("ID_6B6FAF0BAF5E4EF8A9FCFC2758237AFB",1)</f>
        <v>=DISPIMG("ID_6B6FAF0BAF5E4EF8A9FCFC2758237AFB",1)</v>
      </c>
      <c r="F170" s="7"/>
      <c r="G170" s="15"/>
      <c r="H170" s="15"/>
      <c r="I170" s="15"/>
    </row>
    <row r="171" ht="198.4" customHeight="true" spans="1:9">
      <c r="A171" s="7">
        <v>169</v>
      </c>
      <c r="B171" s="8" t="s">
        <v>230</v>
      </c>
      <c r="C171" s="9" t="s">
        <v>231</v>
      </c>
      <c r="D171" s="10" t="str">
        <f>_xlfn.DISPIMG("ID_748AFA65DA8B4A3380A22EA29B3D1CC4",1)</f>
        <v>=DISPIMG("ID_748AFA65DA8B4A3380A22EA29B3D1CC4",1)</v>
      </c>
      <c r="E171" s="10"/>
      <c r="F171" s="7"/>
      <c r="G171" s="15"/>
      <c r="H171" s="15"/>
      <c r="I171" s="15"/>
    </row>
    <row r="172" ht="198.4" customHeight="true" spans="1:9">
      <c r="A172" s="7">
        <v>170</v>
      </c>
      <c r="B172" s="11"/>
      <c r="C172" s="9" t="s">
        <v>232</v>
      </c>
      <c r="D172" s="10" t="str">
        <f>_xlfn.DISPIMG("ID_A8FD46FF78014A4D9FAE33A7AE09F21A",1)</f>
        <v>=DISPIMG("ID_A8FD46FF78014A4D9FAE33A7AE09F21A",1)</v>
      </c>
      <c r="E172" s="10" t="str">
        <f>_xlfn.DISPIMG("ID_29DD7631E41B41BBBE9BC5A818264931",1)</f>
        <v>=DISPIMG("ID_29DD7631E41B41BBBE9BC5A818264931",1)</v>
      </c>
      <c r="F172" s="7"/>
      <c r="G172" s="15"/>
      <c r="H172" s="15"/>
      <c r="I172" s="15"/>
    </row>
    <row r="173" ht="198.4" customHeight="true" spans="1:9">
      <c r="A173" s="7">
        <v>171</v>
      </c>
      <c r="B173" s="11"/>
      <c r="C173" s="9" t="s">
        <v>233</v>
      </c>
      <c r="D173" s="10" t="str">
        <f>_xlfn.DISPIMG("ID_E54DD1855D954BF18BC2ACCB72130AEF",1)</f>
        <v>=DISPIMG("ID_E54DD1855D954BF18BC2ACCB72130AEF",1)</v>
      </c>
      <c r="E173" s="10" t="str">
        <f>_xlfn.DISPIMG("ID_9B65AC6FBEDC48309716AC46B25E98CD",1)</f>
        <v>=DISPIMG("ID_9B65AC6FBEDC48309716AC46B25E98CD",1)</v>
      </c>
      <c r="F173" s="7"/>
      <c r="G173" s="15"/>
      <c r="H173" s="15"/>
      <c r="I173" s="15"/>
    </row>
    <row r="174" ht="198.4" customHeight="true" spans="1:9">
      <c r="A174" s="7">
        <v>172</v>
      </c>
      <c r="B174" s="11"/>
      <c r="C174" s="9" t="s">
        <v>234</v>
      </c>
      <c r="D174" s="10" t="str">
        <f>_xlfn.DISPIMG("ID_1D8AF940AF8944F2B6C2EAA86839EAB0",1)</f>
        <v>=DISPIMG("ID_1D8AF940AF8944F2B6C2EAA86839EAB0",1)</v>
      </c>
      <c r="E174" s="10" t="str">
        <f>_xlfn.DISPIMG("ID_2A27D781447F4329BF92964EE9D79E76",1)</f>
        <v>=DISPIMG("ID_2A27D781447F4329BF92964EE9D79E76",1)</v>
      </c>
      <c r="F174" s="7"/>
      <c r="G174" s="15"/>
      <c r="H174" s="15"/>
      <c r="I174" s="15"/>
    </row>
    <row r="175" ht="198.4" customHeight="true" spans="1:9">
      <c r="A175" s="7">
        <v>173</v>
      </c>
      <c r="B175" s="11"/>
      <c r="C175" s="9" t="s">
        <v>235</v>
      </c>
      <c r="D175" s="10" t="str">
        <f>_xlfn.DISPIMG("ID_6F7460AA3E7249C6B1CF2417400EE8F7",1)</f>
        <v>=DISPIMG("ID_6F7460AA3E7249C6B1CF2417400EE8F7",1)</v>
      </c>
      <c r="E175" s="10" t="str">
        <f>_xlfn.DISPIMG("ID_DDFEEBF7D93B4E549952AD1215C1AF98",1)</f>
        <v>=DISPIMG("ID_DDFEEBF7D93B4E549952AD1215C1AF98",1)</v>
      </c>
      <c r="F175" s="7"/>
      <c r="G175" s="15"/>
      <c r="H175" s="15"/>
      <c r="I175" s="15"/>
    </row>
    <row r="176" ht="198.4" customHeight="true" spans="1:9">
      <c r="A176" s="7">
        <v>174</v>
      </c>
      <c r="B176" s="11"/>
      <c r="C176" s="9" t="s">
        <v>236</v>
      </c>
      <c r="D176" s="10" t="str">
        <f>_xlfn.DISPIMG("ID_F181640BD431460AAEDA966F32D35812",1)</f>
        <v>=DISPIMG("ID_F181640BD431460AAEDA966F32D35812",1)</v>
      </c>
      <c r="E176" s="10" t="str">
        <f>_xlfn.DISPIMG("ID_751EB9764DD04C509625B4DE24B28512",1)</f>
        <v>=DISPIMG("ID_751EB9764DD04C509625B4DE24B28512",1)</v>
      </c>
      <c r="F176" s="7"/>
      <c r="G176" s="15"/>
      <c r="H176" s="15"/>
      <c r="I176" s="15"/>
    </row>
    <row r="177" ht="198.4" customHeight="true" spans="1:9">
      <c r="A177" s="7">
        <v>175</v>
      </c>
      <c r="B177" s="8" t="s">
        <v>237</v>
      </c>
      <c r="C177" s="9" t="s">
        <v>238</v>
      </c>
      <c r="D177" s="10" t="str">
        <f>_xlfn.DISPIMG("ID_1AC124344C2C4262A8A999CDBC499FD9",1)</f>
        <v>=DISPIMG("ID_1AC124344C2C4262A8A999CDBC499FD9",1)</v>
      </c>
      <c r="E177" s="10" t="str">
        <f>_xlfn.DISPIMG("ID_DCE653D83FA649CB8F56A49BE22793E3",1)</f>
        <v>=DISPIMG("ID_DCE653D83FA649CB8F56A49BE22793E3",1)</v>
      </c>
      <c r="F177" s="7"/>
      <c r="G177" s="15"/>
      <c r="H177" s="15"/>
      <c r="I177" s="15"/>
    </row>
    <row r="178" ht="198.4" customHeight="true" spans="1:9">
      <c r="A178" s="7">
        <v>176</v>
      </c>
      <c r="B178" s="11"/>
      <c r="C178" s="9" t="s">
        <v>239</v>
      </c>
      <c r="D178" s="10" t="str">
        <f>_xlfn.DISPIMG("ID_A6C2951CEF3E492B8DAAC313A302C9ED",1)</f>
        <v>=DISPIMG("ID_A6C2951CEF3E492B8DAAC313A302C9ED",1)</v>
      </c>
      <c r="E178" s="10" t="str">
        <f>_xlfn.DISPIMG("ID_92BE685478E447238874DC95DBA4BC47",1)</f>
        <v>=DISPIMG("ID_92BE685478E447238874DC95DBA4BC47",1)</v>
      </c>
      <c r="F178" s="7"/>
      <c r="G178" s="15"/>
      <c r="H178" s="15"/>
      <c r="I178" s="15"/>
    </row>
    <row r="179" ht="198.4" customHeight="true" spans="1:9">
      <c r="A179" s="7">
        <v>177</v>
      </c>
      <c r="B179" s="11"/>
      <c r="C179" s="9" t="s">
        <v>240</v>
      </c>
      <c r="D179" s="10" t="str">
        <f>_xlfn.DISPIMG("ID_F77A6068F5B444B2A9B5CD354A109FF0",1)</f>
        <v>=DISPIMG("ID_F77A6068F5B444B2A9B5CD354A109FF0",1)</v>
      </c>
      <c r="E179" s="10" t="str">
        <f>_xlfn.DISPIMG("ID_6942A8EEF39E4169B996B2A88B115108",1)</f>
        <v>=DISPIMG("ID_6942A8EEF39E4169B996B2A88B115108",1)</v>
      </c>
      <c r="F179" s="7"/>
      <c r="G179" s="15"/>
      <c r="H179" s="15"/>
      <c r="I179" s="15"/>
    </row>
    <row r="180" ht="198.4" customHeight="true" spans="1:9">
      <c r="A180" s="7">
        <v>178</v>
      </c>
      <c r="B180" s="8" t="s">
        <v>241</v>
      </c>
      <c r="C180" s="9" t="s">
        <v>242</v>
      </c>
      <c r="D180" s="10" t="str">
        <f>_xlfn.DISPIMG("ID_47D415BDA66742CD83656A8951C6150F",1)</f>
        <v>=DISPIMG("ID_47D415BDA66742CD83656A8951C6150F",1)</v>
      </c>
      <c r="E180" s="10" t="str">
        <f>_xlfn.DISPIMG("ID_5055E4DB9E144279A7C105AAC6814CA0",1)</f>
        <v>=DISPIMG("ID_5055E4DB9E144279A7C105AAC6814CA0",1)</v>
      </c>
      <c r="F180" s="7"/>
      <c r="G180" s="15"/>
      <c r="H180" s="15"/>
      <c r="I180" s="15"/>
    </row>
    <row r="181" ht="198.4" customHeight="true" spans="1:9">
      <c r="A181" s="7">
        <v>179</v>
      </c>
      <c r="B181" s="11"/>
      <c r="C181" s="9" t="s">
        <v>243</v>
      </c>
      <c r="D181" s="10" t="str">
        <f>_xlfn.DISPIMG("ID_CA6093A635AD4450AA4F9C4F7CB4C5BA",1)</f>
        <v>=DISPIMG("ID_CA6093A635AD4450AA4F9C4F7CB4C5BA",1)</v>
      </c>
      <c r="E181" s="10" t="str">
        <f>_xlfn.DISPIMG("ID_A82DADC204EA4A388D732E96E6C19CC8",1)</f>
        <v>=DISPIMG("ID_A82DADC204EA4A388D732E96E6C19CC8",1)</v>
      </c>
      <c r="F181" s="7"/>
      <c r="G181" s="15"/>
      <c r="H181" s="15"/>
      <c r="I181" s="15"/>
    </row>
    <row r="182" ht="198.4" customHeight="true" spans="1:9">
      <c r="A182" s="7">
        <v>180</v>
      </c>
      <c r="B182" s="11"/>
      <c r="C182" s="9" t="s">
        <v>244</v>
      </c>
      <c r="D182" s="10" t="str">
        <f>_xlfn.DISPIMG("ID_D4C0C64EB8FC43C4B8B894D3361B0FDA",1)</f>
        <v>=DISPIMG("ID_D4C0C64EB8FC43C4B8B894D3361B0FDA",1)</v>
      </c>
      <c r="E182" s="10" t="str">
        <f>_xlfn.DISPIMG("ID_7C3FAC2E20CA4B888348C4E3CA2F9177",1)</f>
        <v>=DISPIMG("ID_7C3FAC2E20CA4B888348C4E3CA2F9177",1)</v>
      </c>
      <c r="F182" s="7"/>
      <c r="G182" s="15"/>
      <c r="H182" s="15"/>
      <c r="I182" s="15"/>
    </row>
    <row r="183" ht="198.4" customHeight="true" spans="1:9">
      <c r="A183" s="7">
        <v>181</v>
      </c>
      <c r="B183" s="11"/>
      <c r="C183" s="9" t="s">
        <v>245</v>
      </c>
      <c r="D183" s="10" t="str">
        <f>_xlfn.DISPIMG("ID_39D9EEAC00C141AE85320A53632088BE",1)</f>
        <v>=DISPIMG("ID_39D9EEAC00C141AE85320A53632088BE",1)</v>
      </c>
      <c r="E183" s="10" t="str">
        <f>_xlfn.DISPIMG("ID_F7CD853313A1456C897BF57CBB0AA408",1)</f>
        <v>=DISPIMG("ID_F7CD853313A1456C897BF57CBB0AA408",1)</v>
      </c>
      <c r="F183" s="7"/>
      <c r="G183" s="15"/>
      <c r="H183" s="15"/>
      <c r="I183" s="15"/>
    </row>
    <row r="184" ht="198.4" customHeight="true" spans="1:9">
      <c r="A184" s="7">
        <v>182</v>
      </c>
      <c r="B184" s="11"/>
      <c r="C184" s="9" t="s">
        <v>246</v>
      </c>
      <c r="D184" s="10" t="str">
        <f>_xlfn.DISPIMG("ID_3E7F0F3649704A35848C285B875C5A8B",1)</f>
        <v>=DISPIMG("ID_3E7F0F3649704A35848C285B875C5A8B",1)</v>
      </c>
      <c r="E184" s="10"/>
      <c r="F184" s="7"/>
      <c r="G184" s="15"/>
      <c r="H184" s="15"/>
      <c r="I184" s="15"/>
    </row>
    <row r="185" ht="198.4" customHeight="true" spans="1:9">
      <c r="A185" s="7">
        <v>183</v>
      </c>
      <c r="B185" s="11"/>
      <c r="C185" s="9" t="s">
        <v>247</v>
      </c>
      <c r="D185" s="10" t="str">
        <f>_xlfn.DISPIMG("ID_351FCECEB65249A39C285162FB0E102A",1)</f>
        <v>=DISPIMG("ID_351FCECEB65249A39C285162FB0E102A",1)</v>
      </c>
      <c r="E185" s="10"/>
      <c r="F185" s="7"/>
      <c r="G185" s="15"/>
      <c r="H185" s="15"/>
      <c r="I185" s="15"/>
    </row>
    <row r="186" ht="198.4" customHeight="true" spans="1:9">
      <c r="A186" s="7">
        <v>184</v>
      </c>
      <c r="B186" s="8" t="s">
        <v>248</v>
      </c>
      <c r="C186" s="9" t="s">
        <v>249</v>
      </c>
      <c r="D186" s="10" t="str">
        <f>_xlfn.DISPIMG("ID_B6B7E661DB424E79AC9EAA2B3A142FF1",1)</f>
        <v>=DISPIMG("ID_B6B7E661DB424E79AC9EAA2B3A142FF1",1)</v>
      </c>
      <c r="E186" s="10"/>
      <c r="F186" s="7"/>
      <c r="G186" s="15"/>
      <c r="H186" s="15"/>
      <c r="I186" s="15"/>
    </row>
    <row r="187" ht="198.4" customHeight="true" spans="1:9">
      <c r="A187" s="7">
        <v>185</v>
      </c>
      <c r="B187" s="11"/>
      <c r="C187" s="9" t="s">
        <v>250</v>
      </c>
      <c r="D187" s="10" t="str">
        <f>_xlfn.DISPIMG("ID_EE45BC7192CB46FAB792090F028D11F0",1)</f>
        <v>=DISPIMG("ID_EE45BC7192CB46FAB792090F028D11F0",1)</v>
      </c>
      <c r="E187" s="10"/>
      <c r="F187" s="7"/>
      <c r="G187" s="15"/>
      <c r="H187" s="15"/>
      <c r="I187" s="15"/>
    </row>
    <row r="188" ht="198.4" customHeight="true" spans="1:9">
      <c r="A188" s="7">
        <v>186</v>
      </c>
      <c r="B188" s="11"/>
      <c r="C188" s="9" t="s">
        <v>251</v>
      </c>
      <c r="D188" s="10" t="str">
        <f>_xlfn.DISPIMG("ID_38B44B2D963F4F5981B39EC759CBBC56",1)</f>
        <v>=DISPIMG("ID_38B44B2D963F4F5981B39EC759CBBC56",1)</v>
      </c>
      <c r="E188" s="10" t="str">
        <f>_xlfn.DISPIMG("ID_97C03AE61CE342B9B2B604E5FBB9A1B4",1)</f>
        <v>=DISPIMG("ID_97C03AE61CE342B9B2B604E5FBB9A1B4",1)</v>
      </c>
      <c r="F188" s="7"/>
      <c r="G188" s="15"/>
      <c r="H188" s="15"/>
      <c r="I188" s="15"/>
    </row>
    <row r="189" ht="198.4" customHeight="true" spans="1:9">
      <c r="A189" s="7">
        <v>187</v>
      </c>
      <c r="B189" s="11"/>
      <c r="C189" s="9" t="s">
        <v>252</v>
      </c>
      <c r="D189" s="10" t="str">
        <f>_xlfn.DISPIMG("ID_623E7D67862D438CAD1AE5E252FC0EBF",1)</f>
        <v>=DISPIMG("ID_623E7D67862D438CAD1AE5E252FC0EBF",1)</v>
      </c>
      <c r="E189" s="10" t="str">
        <f>_xlfn.DISPIMG("ID_585EB60121DE488AACE8752026112757",1)</f>
        <v>=DISPIMG("ID_585EB60121DE488AACE8752026112757",1)</v>
      </c>
      <c r="F189" s="7"/>
      <c r="G189" s="15"/>
      <c r="H189" s="15"/>
      <c r="I189" s="15"/>
    </row>
    <row r="190" ht="198.4" customHeight="true" spans="1:9">
      <c r="A190" s="7">
        <v>188</v>
      </c>
      <c r="B190" s="11"/>
      <c r="C190" s="9" t="s">
        <v>253</v>
      </c>
      <c r="D190" s="10" t="str">
        <f>_xlfn.DISPIMG("ID_9B8498085EDC4844876CD08746FC61C5",1)</f>
        <v>=DISPIMG("ID_9B8498085EDC4844876CD08746FC61C5",1)</v>
      </c>
      <c r="E190" s="10" t="str">
        <f>_xlfn.DISPIMG("ID_C9644B66CAEF4DDE9B06C0052B79C2FA",1)</f>
        <v>=DISPIMG("ID_C9644B66CAEF4DDE9B06C0052B79C2FA",1)</v>
      </c>
      <c r="F190" s="7"/>
      <c r="G190" s="15"/>
      <c r="H190" s="15"/>
      <c r="I190" s="15"/>
    </row>
    <row r="191" ht="198.4" customHeight="true" spans="1:9">
      <c r="A191" s="7">
        <v>189</v>
      </c>
      <c r="B191" s="8" t="s">
        <v>254</v>
      </c>
      <c r="C191" s="9" t="s">
        <v>255</v>
      </c>
      <c r="D191" s="10" t="str">
        <f>_xlfn.DISPIMG("ID_8FFE026457C54C849F425DCF9951B45C",1)</f>
        <v>=DISPIMG("ID_8FFE026457C54C849F425DCF9951B45C",1)</v>
      </c>
      <c r="E191" s="10"/>
      <c r="F191" s="7"/>
      <c r="G191" s="15"/>
      <c r="H191" s="15"/>
      <c r="I191" s="15"/>
    </row>
    <row r="192" ht="198.4" customHeight="true" spans="1:9">
      <c r="A192" s="7">
        <v>190</v>
      </c>
      <c r="B192" s="11"/>
      <c r="C192" s="9" t="s">
        <v>256</v>
      </c>
      <c r="D192" s="10" t="str">
        <f>_xlfn.DISPIMG("ID_101E8F29FC1D4C139E3E6B7391C606E2",1)</f>
        <v>=DISPIMG("ID_101E8F29FC1D4C139E3E6B7391C606E2",1)</v>
      </c>
      <c r="E192" s="10"/>
      <c r="F192" s="7"/>
      <c r="G192" s="15"/>
      <c r="H192" s="15"/>
      <c r="I192" s="15"/>
    </row>
    <row r="193" ht="198.4" customHeight="true" spans="1:9">
      <c r="A193" s="7">
        <v>191</v>
      </c>
      <c r="B193" s="11"/>
      <c r="C193" s="9" t="s">
        <v>257</v>
      </c>
      <c r="D193" s="10" t="str">
        <f>_xlfn.DISPIMG("ID_62EDA9D9CCEE47A5B07609A74207E82B",1)</f>
        <v>=DISPIMG("ID_62EDA9D9CCEE47A5B07609A74207E82B",1)</v>
      </c>
      <c r="E193" s="10" t="str">
        <f>_xlfn.DISPIMG("ID_987D3AE30D294059BE55167129FF9088",1)</f>
        <v>=DISPIMG("ID_987D3AE30D294059BE55167129FF9088",1)</v>
      </c>
      <c r="F193" s="7"/>
      <c r="G193" s="15"/>
      <c r="H193" s="15"/>
      <c r="I193" s="15"/>
    </row>
    <row r="194" ht="198.4" customHeight="true" spans="1:9">
      <c r="A194" s="7">
        <v>192</v>
      </c>
      <c r="B194" s="11"/>
      <c r="C194" s="9" t="s">
        <v>258</v>
      </c>
      <c r="D194" s="10" t="str">
        <f>_xlfn.DISPIMG("ID_C0750208325D481C827FE52B89FD7CAD",1)</f>
        <v>=DISPIMG("ID_C0750208325D481C827FE52B89FD7CAD",1)</v>
      </c>
      <c r="E194" s="10" t="str">
        <f>_xlfn.DISPIMG("ID_31BB1AF91ACF44979367818A614DA6AF",1)</f>
        <v>=DISPIMG("ID_31BB1AF91ACF44979367818A614DA6AF",1)</v>
      </c>
      <c r="F194" s="7"/>
      <c r="G194" s="15"/>
      <c r="H194" s="15"/>
      <c r="I194" s="15"/>
    </row>
    <row r="195" ht="198.4" customHeight="true" spans="1:9">
      <c r="A195" s="7">
        <v>193</v>
      </c>
      <c r="B195" s="11"/>
      <c r="C195" s="9" t="s">
        <v>259</v>
      </c>
      <c r="D195" s="10" t="str">
        <f>_xlfn.DISPIMG("ID_C709FF24F6654279B0ACE6F92626F895",1)</f>
        <v>=DISPIMG("ID_C709FF24F6654279B0ACE6F92626F895",1)</v>
      </c>
      <c r="E195" s="10" t="str">
        <f>_xlfn.DISPIMG("ID_13827AF0A79F4C65AFFCFFDFD0EE2240",1)</f>
        <v>=DISPIMG("ID_13827AF0A79F4C65AFFCFFDFD0EE2240",1)</v>
      </c>
      <c r="F195" s="7"/>
      <c r="G195" s="15"/>
      <c r="H195" s="15"/>
      <c r="I195" s="15"/>
    </row>
    <row r="196" ht="198.4" customHeight="true" spans="1:9">
      <c r="A196" s="7">
        <v>194</v>
      </c>
      <c r="B196" s="8" t="s">
        <v>260</v>
      </c>
      <c r="C196" s="9" t="s">
        <v>261</v>
      </c>
      <c r="D196" s="10" t="str">
        <f>_xlfn.DISPIMG("ID_15B7DECEA99B4644BBD351E179795971",1)</f>
        <v>=DISPIMG("ID_15B7DECEA99B4644BBD351E179795971",1)</v>
      </c>
      <c r="E196" s="10" t="str">
        <f>_xlfn.DISPIMG("ID_6CCB0C7834924CE393CBC1749F579CF4",1)</f>
        <v>=DISPIMG("ID_6CCB0C7834924CE393CBC1749F579CF4",1)</v>
      </c>
      <c r="F196" s="7"/>
      <c r="G196" s="15"/>
      <c r="H196" s="15"/>
      <c r="I196" s="15"/>
    </row>
    <row r="197" ht="198.4" customHeight="true" spans="1:9">
      <c r="A197" s="7">
        <v>195</v>
      </c>
      <c r="B197" s="11"/>
      <c r="C197" s="9" t="s">
        <v>262</v>
      </c>
      <c r="D197" s="10" t="str">
        <f>_xlfn.DISPIMG("ID_4481253985D34318B7B02F32BE447F00",1)</f>
        <v>=DISPIMG("ID_4481253985D34318B7B02F32BE447F00",1)</v>
      </c>
      <c r="E197" s="10" t="str">
        <f>_xlfn.DISPIMG("ID_CFAA5D605E994F74B41E9218177E4A08",1)</f>
        <v>=DISPIMG("ID_CFAA5D605E994F74B41E9218177E4A08",1)</v>
      </c>
      <c r="F197" s="7"/>
      <c r="G197" s="15"/>
      <c r="H197" s="15"/>
      <c r="I197" s="15"/>
    </row>
    <row r="198" ht="198.4" customHeight="true" spans="1:9">
      <c r="A198" s="7">
        <v>196</v>
      </c>
      <c r="B198" s="11"/>
      <c r="C198" s="9" t="s">
        <v>263</v>
      </c>
      <c r="D198" s="10" t="str">
        <f>_xlfn.DISPIMG("ID_04A60B00C9DA4C96AF6C809622F5CDC7",1)</f>
        <v>=DISPIMG("ID_04A60B00C9DA4C96AF6C809622F5CDC7",1)</v>
      </c>
      <c r="E198" s="10"/>
      <c r="F198" s="7"/>
      <c r="G198" s="15"/>
      <c r="H198" s="15"/>
      <c r="I198" s="15"/>
    </row>
    <row r="199" ht="198.4" customHeight="true" spans="1:9">
      <c r="A199" s="7">
        <v>197</v>
      </c>
      <c r="B199" s="11"/>
      <c r="C199" s="9" t="s">
        <v>264</v>
      </c>
      <c r="D199" s="10" t="str">
        <f>_xlfn.DISPIMG("ID_3A62E9D9EB174B01B44FFE76C6971773",1)</f>
        <v>=DISPIMG("ID_3A62E9D9EB174B01B44FFE76C6971773",1)</v>
      </c>
      <c r="E199" s="10"/>
      <c r="F199" s="7"/>
      <c r="G199" s="15"/>
      <c r="H199" s="15"/>
      <c r="I199" s="15"/>
    </row>
    <row r="200" ht="198.4" customHeight="true" spans="1:9">
      <c r="A200" s="7">
        <v>198</v>
      </c>
      <c r="B200" s="11"/>
      <c r="C200" s="9" t="s">
        <v>265</v>
      </c>
      <c r="D200" s="10" t="str">
        <f>_xlfn.DISPIMG("ID_7C3CC29E00FF46F39A2F0B3FB192983F",1)</f>
        <v>=DISPIMG("ID_7C3CC29E00FF46F39A2F0B3FB192983F",1)</v>
      </c>
      <c r="E200" s="10"/>
      <c r="F200" s="7"/>
      <c r="G200" s="15"/>
      <c r="H200" s="15"/>
      <c r="I200" s="15"/>
    </row>
    <row r="201" ht="198.4" customHeight="true" spans="1:9">
      <c r="A201" s="7">
        <v>199</v>
      </c>
      <c r="B201" s="8" t="s">
        <v>266</v>
      </c>
      <c r="C201" s="9" t="s">
        <v>267</v>
      </c>
      <c r="D201" s="10" t="str">
        <f>_xlfn.DISPIMG("ID_528D899F4CF749759510C900CF280507",1)</f>
        <v>=DISPIMG("ID_528D899F4CF749759510C900CF280507",1)</v>
      </c>
      <c r="E201" s="10" t="str">
        <f>_xlfn.DISPIMG("ID_205ED4098CCF4EAB8C7869358B795C59",1)</f>
        <v>=DISPIMG("ID_205ED4098CCF4EAB8C7869358B795C59",1)</v>
      </c>
      <c r="F201" s="7" t="s">
        <v>11</v>
      </c>
      <c r="G201" s="15" t="s">
        <v>12</v>
      </c>
      <c r="H201" s="15" t="s">
        <v>12</v>
      </c>
      <c r="I201" s="15" t="s">
        <v>12</v>
      </c>
    </row>
    <row r="202" ht="198.4" customHeight="true" spans="1:9">
      <c r="A202" s="7">
        <v>200</v>
      </c>
      <c r="B202" s="11"/>
      <c r="C202" s="9" t="s">
        <v>268</v>
      </c>
      <c r="D202" s="10" t="str">
        <f>_xlfn.DISPIMG("ID_60387F7FBACC4C60B7ABC43F8515860B",1)</f>
        <v>=DISPIMG("ID_60387F7FBACC4C60B7ABC43F8515860B",1)</v>
      </c>
      <c r="E202" s="10" t="str">
        <f>_xlfn.DISPIMG("ID_60F4F08DA74C45C49AC2DD4522898C6C",1)</f>
        <v>=DISPIMG("ID_60F4F08DA74C45C49AC2DD4522898C6C",1)</v>
      </c>
      <c r="F202" s="7" t="s">
        <v>11</v>
      </c>
      <c r="G202" s="15" t="s">
        <v>12</v>
      </c>
      <c r="H202" s="15" t="s">
        <v>12</v>
      </c>
      <c r="I202" s="15" t="s">
        <v>12</v>
      </c>
    </row>
    <row r="203" ht="198.4" customHeight="true" spans="1:9">
      <c r="A203" s="7">
        <v>201</v>
      </c>
      <c r="B203" s="9" t="s">
        <v>269</v>
      </c>
      <c r="C203" s="9" t="s">
        <v>270</v>
      </c>
      <c r="D203" s="10" t="str">
        <f>_xlfn.DISPIMG("ID_AE2DA9072F72492A830CD81F2ABA56E2",1)</f>
        <v>=DISPIMG("ID_AE2DA9072F72492A830CD81F2ABA56E2",1)</v>
      </c>
      <c r="E203" s="10"/>
      <c r="F203" s="7"/>
      <c r="G203" s="15"/>
      <c r="H203" s="15"/>
      <c r="I203" s="15"/>
    </row>
    <row r="204" ht="198.4" customHeight="true" spans="1:9">
      <c r="A204" s="7">
        <v>202</v>
      </c>
      <c r="B204" s="9" t="s">
        <v>271</v>
      </c>
      <c r="C204" s="9" t="s">
        <v>272</v>
      </c>
      <c r="D204" s="10" t="str">
        <f>_xlfn.DISPIMG("ID_286D750246D7416798BCB65DBDA5D0B7",1)</f>
        <v>=DISPIMG("ID_286D750246D7416798BCB65DBDA5D0B7",1)</v>
      </c>
      <c r="E204" s="10"/>
      <c r="F204" s="7" t="s">
        <v>11</v>
      </c>
      <c r="G204" s="15" t="s">
        <v>12</v>
      </c>
      <c r="H204" s="15" t="s">
        <v>12</v>
      </c>
      <c r="I204" s="15" t="s">
        <v>12</v>
      </c>
    </row>
    <row r="205" ht="198.4" customHeight="true" spans="1:9">
      <c r="A205" s="7">
        <v>203</v>
      </c>
      <c r="B205" s="9" t="s">
        <v>273</v>
      </c>
      <c r="C205" s="9" t="s">
        <v>274</v>
      </c>
      <c r="D205" s="10" t="str">
        <f>_xlfn.DISPIMG("ID_2B5579386EAF46819F85C550787D4B7A",1)</f>
        <v>=DISPIMG("ID_2B5579386EAF46819F85C550787D4B7A",1)</v>
      </c>
      <c r="E205" s="10"/>
      <c r="F205" s="7"/>
      <c r="G205" s="15"/>
      <c r="H205" s="15"/>
      <c r="I205" s="15"/>
    </row>
    <row r="206" ht="198.4" customHeight="true" spans="1:9">
      <c r="A206" s="7">
        <v>204</v>
      </c>
      <c r="B206" s="8" t="s">
        <v>275</v>
      </c>
      <c r="C206" s="9" t="s">
        <v>276</v>
      </c>
      <c r="D206" s="10" t="str">
        <f>_xlfn.DISPIMG("ID_7598B511628248F5A61C5D67A899BF10",1)</f>
        <v>=DISPIMG("ID_7598B511628248F5A61C5D67A899BF10",1)</v>
      </c>
      <c r="E206" s="10" t="str">
        <f>_xlfn.DISPIMG("ID_78C5919697534E36A56B1B2093EC0C56",1)</f>
        <v>=DISPIMG("ID_78C5919697534E36A56B1B2093EC0C56",1)</v>
      </c>
      <c r="F206" s="7"/>
      <c r="G206" s="15"/>
      <c r="H206" s="15"/>
      <c r="I206" s="15"/>
    </row>
    <row r="207" ht="198.4" customHeight="true" spans="1:9">
      <c r="A207" s="7">
        <v>205</v>
      </c>
      <c r="B207" s="11"/>
      <c r="C207" s="9" t="s">
        <v>277</v>
      </c>
      <c r="D207" s="10" t="str">
        <f>_xlfn.DISPIMG("ID_8C18456FDDB84329AC38B5100E119830",1)</f>
        <v>=DISPIMG("ID_8C18456FDDB84329AC38B5100E119830",1)</v>
      </c>
      <c r="E207" s="10"/>
      <c r="F207" s="7"/>
      <c r="G207" s="15"/>
      <c r="H207" s="15"/>
      <c r="I207" s="15"/>
    </row>
    <row r="208" ht="198.4" customHeight="true" spans="1:9">
      <c r="A208" s="7">
        <v>206</v>
      </c>
      <c r="B208" s="8" t="s">
        <v>278</v>
      </c>
      <c r="C208" s="9" t="s">
        <v>279</v>
      </c>
      <c r="D208" s="10" t="str">
        <f>_xlfn.DISPIMG("ID_5856B47C14A048F8AEE17C96F4752638",1)</f>
        <v>=DISPIMG("ID_5856B47C14A048F8AEE17C96F4752638",1)</v>
      </c>
      <c r="E208" s="10" t="str">
        <f>_xlfn.DISPIMG("ID_FAFBE179A4AA4CA2AC2C14C202741BD4",1)</f>
        <v>=DISPIMG("ID_FAFBE179A4AA4CA2AC2C14C202741BD4",1)</v>
      </c>
      <c r="F208" s="7"/>
      <c r="G208" s="15"/>
      <c r="H208" s="15"/>
      <c r="I208" s="15"/>
    </row>
    <row r="209" ht="198.4" customHeight="true" spans="1:9">
      <c r="A209" s="7">
        <v>207</v>
      </c>
      <c r="B209" s="11"/>
      <c r="C209" s="9" t="s">
        <v>280</v>
      </c>
      <c r="D209" s="10" t="str">
        <f>_xlfn.DISPIMG("ID_3FB7C22F53804F1980CF7B4BD3EC822F",1)</f>
        <v>=DISPIMG("ID_3FB7C22F53804F1980CF7B4BD3EC822F",1)</v>
      </c>
      <c r="E209" s="10" t="str">
        <f>_xlfn.DISPIMG("ID_61CA7941768749CB988F88FC3F3CB9DC",1)</f>
        <v>=DISPIMG("ID_61CA7941768749CB988F88FC3F3CB9DC",1)</v>
      </c>
      <c r="F209" s="7"/>
      <c r="G209" s="15"/>
      <c r="H209" s="15"/>
      <c r="I209" s="15"/>
    </row>
    <row r="210" ht="198.4" customHeight="true" spans="1:9">
      <c r="A210" s="7">
        <v>208</v>
      </c>
      <c r="B210" s="11"/>
      <c r="C210" s="9" t="s">
        <v>281</v>
      </c>
      <c r="D210" s="10" t="str">
        <f>_xlfn.DISPIMG("ID_7DB343AB4CC74257857899F59BE886A0",1)</f>
        <v>=DISPIMG("ID_7DB343AB4CC74257857899F59BE886A0",1)</v>
      </c>
      <c r="E210" s="10"/>
      <c r="F210" s="7"/>
      <c r="G210" s="15"/>
      <c r="H210" s="15"/>
      <c r="I210" s="15"/>
    </row>
    <row r="211" ht="198.4" customHeight="true" spans="1:9">
      <c r="A211" s="7">
        <v>209</v>
      </c>
      <c r="B211" s="8" t="s">
        <v>282</v>
      </c>
      <c r="C211" s="9" t="s">
        <v>283</v>
      </c>
      <c r="D211" s="10" t="str">
        <f>_xlfn.DISPIMG("ID_311484F9ABD949D7B91651119C796255",1)</f>
        <v>=DISPIMG("ID_311484F9ABD949D7B91651119C796255",1)</v>
      </c>
      <c r="E211" s="10"/>
      <c r="F211" s="7"/>
      <c r="G211" s="15"/>
      <c r="H211" s="15"/>
      <c r="I211" s="15"/>
    </row>
    <row r="212" ht="198.4" customHeight="true" spans="1:9">
      <c r="A212" s="7">
        <v>210</v>
      </c>
      <c r="B212" s="11"/>
      <c r="C212" s="9" t="s">
        <v>284</v>
      </c>
      <c r="D212" s="10" t="str">
        <f>_xlfn.DISPIMG("ID_35080CED632C4712A811406ADD71BA1A",1)</f>
        <v>=DISPIMG("ID_35080CED632C4712A811406ADD71BA1A",1)</v>
      </c>
      <c r="E212" s="10"/>
      <c r="F212" s="7"/>
      <c r="G212" s="15"/>
      <c r="H212" s="15"/>
      <c r="I212" s="15"/>
    </row>
    <row r="213" ht="198.4" customHeight="true" spans="1:9">
      <c r="A213" s="7">
        <v>211</v>
      </c>
      <c r="B213" s="11"/>
      <c r="C213" s="9" t="s">
        <v>285</v>
      </c>
      <c r="D213" s="10" t="str">
        <f>_xlfn.DISPIMG("ID_732FBD0EA9B7436CB26FD168C3EA8C56",1)</f>
        <v>=DISPIMG("ID_732FBD0EA9B7436CB26FD168C3EA8C56",1)</v>
      </c>
      <c r="E213" s="10" t="str">
        <f>_xlfn.DISPIMG("ID_1CDF12991A964B65A6343403D5D6D8DA",1)</f>
        <v>=DISPIMG("ID_1CDF12991A964B65A6343403D5D6D8DA",1)</v>
      </c>
      <c r="F213" s="7"/>
      <c r="G213" s="15"/>
      <c r="H213" s="15"/>
      <c r="I213" s="15"/>
    </row>
    <row r="214" ht="198.4" customHeight="true" spans="1:9">
      <c r="A214" s="7">
        <v>212</v>
      </c>
      <c r="B214" s="11"/>
      <c r="C214" s="9" t="s">
        <v>286</v>
      </c>
      <c r="D214" s="10" t="str">
        <f>_xlfn.DISPIMG("ID_E65127D2B92A49B48B93109A931807E7",1)</f>
        <v>=DISPIMG("ID_E65127D2B92A49B48B93109A931807E7",1)</v>
      </c>
      <c r="E214" s="10" t="str">
        <f>_xlfn.DISPIMG("ID_1757ABE2521248C4B886C4D6F1E3C41D",1)</f>
        <v>=DISPIMG("ID_1757ABE2521248C4B886C4D6F1E3C41D",1)</v>
      </c>
      <c r="F214" s="7"/>
      <c r="G214" s="15"/>
      <c r="H214" s="15"/>
      <c r="I214" s="15"/>
    </row>
    <row r="215" ht="198.4" customHeight="true" spans="1:9">
      <c r="A215" s="7">
        <v>213</v>
      </c>
      <c r="B215" s="11"/>
      <c r="C215" s="9" t="s">
        <v>287</v>
      </c>
      <c r="D215" s="10" t="str">
        <f>_xlfn.DISPIMG("ID_22326602AFDB49559A305F0C34093E78",1)</f>
        <v>=DISPIMG("ID_22326602AFDB49559A305F0C34093E78",1)</v>
      </c>
      <c r="E215" s="10" t="str">
        <f>_xlfn.DISPIMG("ID_05FAC6003AC9429EAEB61C96C4EE4259",1)</f>
        <v>=DISPIMG("ID_05FAC6003AC9429EAEB61C96C4EE4259",1)</v>
      </c>
      <c r="F215" s="7"/>
      <c r="G215" s="15"/>
      <c r="H215" s="15"/>
      <c r="I215" s="15"/>
    </row>
    <row r="216" ht="198.4" customHeight="true" spans="1:9">
      <c r="A216" s="7">
        <v>214</v>
      </c>
      <c r="B216" s="9" t="s">
        <v>288</v>
      </c>
      <c r="C216" s="9" t="s">
        <v>289</v>
      </c>
      <c r="D216" s="10" t="str">
        <f>_xlfn.DISPIMG("ID_5F1C580EF16A45FF97BDD6A5307344B0",1)</f>
        <v>=DISPIMG("ID_5F1C580EF16A45FF97BDD6A5307344B0",1)</v>
      </c>
      <c r="E216" s="10"/>
      <c r="F216" s="7"/>
      <c r="G216" s="15"/>
      <c r="H216" s="15"/>
      <c r="I216" s="15"/>
    </row>
    <row r="217" ht="198.4" customHeight="true" spans="1:9">
      <c r="A217" s="7">
        <v>215</v>
      </c>
      <c r="B217" s="8" t="s">
        <v>290</v>
      </c>
      <c r="C217" s="9" t="s">
        <v>291</v>
      </c>
      <c r="D217" s="10" t="str">
        <f>_xlfn.DISPIMG("ID_7F528DC5B8C04393BFB9843531075EFE",1)</f>
        <v>=DISPIMG("ID_7F528DC5B8C04393BFB9843531075EFE",1)</v>
      </c>
      <c r="E217" s="10"/>
      <c r="F217" s="7"/>
      <c r="G217" s="15"/>
      <c r="H217" s="15"/>
      <c r="I217" s="15"/>
    </row>
    <row r="218" ht="198.4" customHeight="true" spans="1:9">
      <c r="A218" s="7">
        <v>216</v>
      </c>
      <c r="B218" s="11"/>
      <c r="C218" s="9" t="s">
        <v>292</v>
      </c>
      <c r="D218" s="10" t="str">
        <f>_xlfn.DISPIMG("ID_22A8F4D9E0574F8DA70C124842B6B110",1)</f>
        <v>=DISPIMG("ID_22A8F4D9E0574F8DA70C124842B6B110",1)</v>
      </c>
      <c r="E218" s="10"/>
      <c r="F218" s="7"/>
      <c r="G218" s="15"/>
      <c r="H218" s="15"/>
      <c r="I218" s="15"/>
    </row>
    <row r="219" ht="198.4" customHeight="true" spans="1:9">
      <c r="A219" s="7">
        <v>217</v>
      </c>
      <c r="B219" s="11"/>
      <c r="C219" s="9" t="s">
        <v>293</v>
      </c>
      <c r="D219" s="10" t="str">
        <f>_xlfn.DISPIMG("ID_453425AE45A24D9BBD4961B1E517BC5C",1)</f>
        <v>=DISPIMG("ID_453425AE45A24D9BBD4961B1E517BC5C",1)</v>
      </c>
      <c r="E219" s="10" t="str">
        <f>_xlfn.DISPIMG("ID_6447180E81F345F188461D8995925EA2",1)</f>
        <v>=DISPIMG("ID_6447180E81F345F188461D8995925EA2",1)</v>
      </c>
      <c r="F219" s="7"/>
      <c r="G219" s="15"/>
      <c r="H219" s="15"/>
      <c r="I219" s="15"/>
    </row>
    <row r="220" ht="198.4" customHeight="true" spans="1:9">
      <c r="A220" s="7">
        <v>218</v>
      </c>
      <c r="B220" s="11"/>
      <c r="C220" s="9" t="s">
        <v>294</v>
      </c>
      <c r="D220" s="10" t="str">
        <f>_xlfn.DISPIMG("ID_074E0AAA3CEA4C50BACDABE3816AD143",1)</f>
        <v>=DISPIMG("ID_074E0AAA3CEA4C50BACDABE3816AD143",1)</v>
      </c>
      <c r="E220" s="10" t="str">
        <f>_xlfn.DISPIMG("ID_67B8C35459F74DA4BE3DD2D19619ABE8",1)</f>
        <v>=DISPIMG("ID_67B8C35459F74DA4BE3DD2D19619ABE8",1)</v>
      </c>
      <c r="F220" s="7"/>
      <c r="G220" s="15"/>
      <c r="H220" s="15"/>
      <c r="I220" s="15"/>
    </row>
    <row r="221" ht="198.4" customHeight="true" spans="1:9">
      <c r="A221" s="7">
        <v>219</v>
      </c>
      <c r="B221" s="11"/>
      <c r="C221" s="9" t="s">
        <v>295</v>
      </c>
      <c r="D221" s="10" t="str">
        <f>_xlfn.DISPIMG("ID_EFFF70C9369544C7A8B42F0AFB4DE1B3",1)</f>
        <v>=DISPIMG("ID_EFFF70C9369544C7A8B42F0AFB4DE1B3",1)</v>
      </c>
      <c r="E221" s="10" t="str">
        <f>_xlfn.DISPIMG("ID_8A27E1C427CA443FB522B78561B033C5",1)</f>
        <v>=DISPIMG("ID_8A27E1C427CA443FB522B78561B033C5",1)</v>
      </c>
      <c r="F221" s="7"/>
      <c r="G221" s="15"/>
      <c r="H221" s="15"/>
      <c r="I221" s="15"/>
    </row>
    <row r="222" ht="198.4" customHeight="true" spans="1:9">
      <c r="A222" s="7">
        <v>220</v>
      </c>
      <c r="B222" s="8" t="s">
        <v>296</v>
      </c>
      <c r="C222" s="9" t="s">
        <v>297</v>
      </c>
      <c r="D222" s="10" t="str">
        <f>_xlfn.DISPIMG("ID_5B2711404E954E6D9DC37ECD6B0829F2",1)</f>
        <v>=DISPIMG("ID_5B2711404E954E6D9DC37ECD6B0829F2",1)</v>
      </c>
      <c r="E222" s="10" t="str">
        <f>_xlfn.DISPIMG("ID_30094CFE74D14D11BE3BC1A5F76128D1",1)</f>
        <v>=DISPIMG("ID_30094CFE74D14D11BE3BC1A5F76128D1",1)</v>
      </c>
      <c r="F222" s="7" t="s">
        <v>11</v>
      </c>
      <c r="G222" s="15" t="s">
        <v>12</v>
      </c>
      <c r="H222" s="15" t="s">
        <v>12</v>
      </c>
      <c r="I222" s="15" t="s">
        <v>12</v>
      </c>
    </row>
    <row r="223" ht="198.4" customHeight="true" spans="1:9">
      <c r="A223" s="7">
        <v>221</v>
      </c>
      <c r="B223" s="11"/>
      <c r="C223" s="9" t="s">
        <v>298</v>
      </c>
      <c r="D223" s="10" t="str">
        <f>_xlfn.DISPIMG("ID_DE15BF3EC4F44548BBA0D88602CFCE95",1)</f>
        <v>=DISPIMG("ID_DE15BF3EC4F44548BBA0D88602CFCE95",1)</v>
      </c>
      <c r="E223" s="10"/>
      <c r="F223" s="7" t="s">
        <v>11</v>
      </c>
      <c r="G223" s="15" t="s">
        <v>12</v>
      </c>
      <c r="H223" s="15" t="s">
        <v>12</v>
      </c>
      <c r="I223" s="15" t="s">
        <v>12</v>
      </c>
    </row>
    <row r="224" ht="198.4" customHeight="true" spans="1:9">
      <c r="A224" s="7">
        <v>222</v>
      </c>
      <c r="B224" s="8" t="s">
        <v>299</v>
      </c>
      <c r="C224" s="9" t="s">
        <v>300</v>
      </c>
      <c r="D224" s="10" t="str">
        <f>_xlfn.DISPIMG("ID_71062F7804EA439EACAD9B841838C278",1)</f>
        <v>=DISPIMG("ID_71062F7804EA439EACAD9B841838C278",1)</v>
      </c>
      <c r="E224" s="10" t="str">
        <f>_xlfn.DISPIMG("ID_490B94E054044BBD93467C717BE037EF",1)</f>
        <v>=DISPIMG("ID_490B94E054044BBD93467C717BE037EF",1)</v>
      </c>
      <c r="F224" s="7" t="s">
        <v>11</v>
      </c>
      <c r="G224" s="15" t="s">
        <v>12</v>
      </c>
      <c r="H224" s="15" t="s">
        <v>12</v>
      </c>
      <c r="I224" s="15" t="s">
        <v>12</v>
      </c>
    </row>
    <row r="225" ht="198.4" customHeight="true" spans="1:9">
      <c r="A225" s="7">
        <v>223</v>
      </c>
      <c r="B225" s="11"/>
      <c r="C225" s="9" t="s">
        <v>301</v>
      </c>
      <c r="D225" s="10" t="str">
        <f>_xlfn.DISPIMG("ID_20BE5417976540F6A910778F3C52D600",1)</f>
        <v>=DISPIMG("ID_20BE5417976540F6A910778F3C52D600",1)</v>
      </c>
      <c r="E225" s="10" t="str">
        <f>_xlfn.DISPIMG("ID_713F63B776C5417D94E8427B3BEB2557",1)</f>
        <v>=DISPIMG("ID_713F63B776C5417D94E8427B3BEB2557",1)</v>
      </c>
      <c r="F225" s="7" t="s">
        <v>11</v>
      </c>
      <c r="G225" s="15" t="s">
        <v>12</v>
      </c>
      <c r="H225" s="15" t="s">
        <v>12</v>
      </c>
      <c r="I225" s="15" t="s">
        <v>12</v>
      </c>
    </row>
    <row r="226" ht="198.4" customHeight="true" spans="1:9">
      <c r="A226" s="7">
        <v>224</v>
      </c>
      <c r="B226" s="11"/>
      <c r="C226" s="9" t="s">
        <v>302</v>
      </c>
      <c r="D226" s="10" t="str">
        <f>_xlfn.DISPIMG("ID_7B22C974089D4FB0A20A40D9AF3F1964",1)</f>
        <v>=DISPIMG("ID_7B22C974089D4FB0A20A40D9AF3F1964",1)</v>
      </c>
      <c r="E226" s="10"/>
      <c r="F226" s="7"/>
      <c r="G226" s="15"/>
      <c r="H226" s="15"/>
      <c r="I226" s="15"/>
    </row>
    <row r="227" ht="198.4" customHeight="true" spans="1:9">
      <c r="A227" s="7">
        <v>225</v>
      </c>
      <c r="B227" s="8" t="s">
        <v>303</v>
      </c>
      <c r="C227" s="9" t="s">
        <v>304</v>
      </c>
      <c r="D227" s="10" t="str">
        <f>_xlfn.DISPIMG("ID_0FDEA89B4F8F401583AB34190A7A5028",1)</f>
        <v>=DISPIMG("ID_0FDEA89B4F8F401583AB34190A7A5028",1)</v>
      </c>
      <c r="E227" s="10" t="str">
        <f>_xlfn.DISPIMG("ID_E54DAC6876004955887B2B7BEFBCD56B",1)</f>
        <v>=DISPIMG("ID_E54DAC6876004955887B2B7BEFBCD56B",1)</v>
      </c>
      <c r="F227" s="7"/>
      <c r="G227" s="15"/>
      <c r="H227" s="15"/>
      <c r="I227" s="15"/>
    </row>
    <row r="228" ht="198.4" customHeight="true" spans="1:9">
      <c r="A228" s="7">
        <v>226</v>
      </c>
      <c r="B228" s="11"/>
      <c r="C228" s="9" t="s">
        <v>305</v>
      </c>
      <c r="D228" s="10" t="str">
        <f>_xlfn.DISPIMG("ID_82A57DD7816A4ADC93750ACAF3CD9D6E",1)</f>
        <v>=DISPIMG("ID_82A57DD7816A4ADC93750ACAF3CD9D6E",1)</v>
      </c>
      <c r="E228" s="10" t="str">
        <f>_xlfn.DISPIMG("ID_FBA3C5AD0E9B496C98D1BB93AAD592FA",1)</f>
        <v>=DISPIMG("ID_FBA3C5AD0E9B496C98D1BB93AAD592FA",1)</v>
      </c>
      <c r="F228" s="7"/>
      <c r="G228" s="15"/>
      <c r="H228" s="15"/>
      <c r="I228" s="15"/>
    </row>
    <row r="229" ht="198.4" customHeight="true" spans="1:9">
      <c r="A229" s="7">
        <v>227</v>
      </c>
      <c r="B229" s="11"/>
      <c r="C229" s="9" t="s">
        <v>306</v>
      </c>
      <c r="D229" s="10" t="str">
        <f>_xlfn.DISPIMG("ID_43A98E81372E45C9B8C7BF1C62BFFAC1",1)</f>
        <v>=DISPIMG("ID_43A98E81372E45C9B8C7BF1C62BFFAC1",1)</v>
      </c>
      <c r="E229" s="10" t="str">
        <f>_xlfn.DISPIMG("ID_95CA3A45A2BC42E1A044B9A225D84DC2",1)</f>
        <v>=DISPIMG("ID_95CA3A45A2BC42E1A044B9A225D84DC2",1)</v>
      </c>
      <c r="F229" s="7"/>
      <c r="G229" s="15"/>
      <c r="H229" s="15"/>
      <c r="I229" s="15"/>
    </row>
    <row r="230" ht="198.4" customHeight="true" spans="1:9">
      <c r="A230" s="7">
        <v>228</v>
      </c>
      <c r="B230" s="11"/>
      <c r="C230" s="9" t="s">
        <v>307</v>
      </c>
      <c r="D230" s="10" t="str">
        <f>_xlfn.DISPIMG("ID_C778F215E06644AE9D38DB1CF367AE6D",1)</f>
        <v>=DISPIMG("ID_C778F215E06644AE9D38DB1CF367AE6D",1)</v>
      </c>
      <c r="E230" s="10"/>
      <c r="F230" s="7"/>
      <c r="G230" s="15"/>
      <c r="H230" s="15"/>
      <c r="I230" s="15"/>
    </row>
    <row r="231" ht="198.4" customHeight="true" spans="1:9">
      <c r="A231" s="7">
        <v>229</v>
      </c>
      <c r="B231" s="11"/>
      <c r="C231" s="9" t="s">
        <v>308</v>
      </c>
      <c r="D231" s="10" t="str">
        <f>_xlfn.DISPIMG("ID_D24A2E82D62343638A46014CB35FDCF0",1)</f>
        <v>=DISPIMG("ID_D24A2E82D62343638A46014CB35FDCF0",1)</v>
      </c>
      <c r="E231" s="10"/>
      <c r="F231" s="7"/>
      <c r="G231" s="15"/>
      <c r="H231" s="15"/>
      <c r="I231" s="15"/>
    </row>
    <row r="232" ht="198.4" customHeight="true" spans="1:9">
      <c r="A232" s="7">
        <v>230</v>
      </c>
      <c r="B232" s="11"/>
      <c r="C232" s="9" t="s">
        <v>309</v>
      </c>
      <c r="D232" s="10" t="str">
        <f>_xlfn.DISPIMG("ID_5565F1711474474CB91398752FB5F1DD",1)</f>
        <v>=DISPIMG("ID_5565F1711474474CB91398752FB5F1DD",1)</v>
      </c>
      <c r="E232" s="10"/>
      <c r="F232" s="7"/>
      <c r="G232" s="15"/>
      <c r="H232" s="15"/>
      <c r="I232" s="15"/>
    </row>
    <row r="233" ht="198.4" customHeight="true" spans="1:9">
      <c r="A233" s="7">
        <v>231</v>
      </c>
      <c r="B233" s="9" t="s">
        <v>310</v>
      </c>
      <c r="C233" s="9" t="s">
        <v>311</v>
      </c>
      <c r="D233" s="10" t="str">
        <f>_xlfn.DISPIMG("ID_448C2DF56AB144BDB507A69DCAD12F04",1)</f>
        <v>=DISPIMG("ID_448C2DF56AB144BDB507A69DCAD12F04",1)</v>
      </c>
      <c r="E233" s="10"/>
      <c r="F233" s="7"/>
      <c r="G233" s="15"/>
      <c r="H233" s="15"/>
      <c r="I233" s="15"/>
    </row>
    <row r="234" ht="198.4" customHeight="true" spans="1:9">
      <c r="A234" s="7">
        <v>232</v>
      </c>
      <c r="B234" s="9" t="s">
        <v>312</v>
      </c>
      <c r="C234" s="9" t="s">
        <v>313</v>
      </c>
      <c r="D234" s="10" t="str">
        <f>_xlfn.DISPIMG("ID_08CA6E72D5B245F3BAF0DFE96D2CA2BC",1)</f>
        <v>=DISPIMG("ID_08CA6E72D5B245F3BAF0DFE96D2CA2BC",1)</v>
      </c>
      <c r="E234" s="10" t="str">
        <f>_xlfn.DISPIMG("ID_A27EACB9D7CB47BF8A1FF391747C703E",1)</f>
        <v>=DISPIMG("ID_A27EACB9D7CB47BF8A1FF391747C703E",1)</v>
      </c>
      <c r="F234" s="7"/>
      <c r="G234" s="15"/>
      <c r="H234" s="15"/>
      <c r="I234" s="15"/>
    </row>
    <row r="235" ht="198.4" customHeight="true" spans="1:9">
      <c r="A235" s="7">
        <v>233</v>
      </c>
      <c r="B235" s="8" t="s">
        <v>314</v>
      </c>
      <c r="C235" s="9" t="s">
        <v>315</v>
      </c>
      <c r="D235" s="10" t="str">
        <f>_xlfn.DISPIMG("ID_8D4E5F8D270A46DDB35A36921824A033",1)</f>
        <v>=DISPIMG("ID_8D4E5F8D270A46DDB35A36921824A033",1)</v>
      </c>
      <c r="E235" s="10"/>
      <c r="F235" s="7"/>
      <c r="G235" s="15"/>
      <c r="H235" s="15"/>
      <c r="I235" s="15"/>
    </row>
    <row r="236" ht="198.4" customHeight="true" spans="1:9">
      <c r="A236" s="7">
        <v>234</v>
      </c>
      <c r="B236" s="11"/>
      <c r="C236" s="9" t="s">
        <v>316</v>
      </c>
      <c r="D236" s="10" t="str">
        <f>_xlfn.DISPIMG("ID_0959371FCC2946CF8EC502600A8AC97A",1)</f>
        <v>=DISPIMG("ID_0959371FCC2946CF8EC502600A8AC97A",1)</v>
      </c>
      <c r="E236" s="10"/>
      <c r="F236" s="7"/>
      <c r="G236" s="15"/>
      <c r="H236" s="15"/>
      <c r="I236" s="15"/>
    </row>
    <row r="237" ht="198.4" customHeight="true" spans="1:9">
      <c r="A237" s="7">
        <v>235</v>
      </c>
      <c r="B237" s="11"/>
      <c r="C237" s="9" t="s">
        <v>317</v>
      </c>
      <c r="D237" s="10" t="str">
        <f>_xlfn.DISPIMG("ID_F89FAACB40EA4C888FA75F5EC1D19183",1)</f>
        <v>=DISPIMG("ID_F89FAACB40EA4C888FA75F5EC1D19183",1)</v>
      </c>
      <c r="E237" s="10"/>
      <c r="F237" s="7"/>
      <c r="G237" s="15"/>
      <c r="H237" s="15"/>
      <c r="I237" s="15"/>
    </row>
    <row r="238" ht="198.4" customHeight="true" spans="1:9">
      <c r="A238" s="7">
        <v>236</v>
      </c>
      <c r="B238" s="11"/>
      <c r="C238" s="9" t="s">
        <v>318</v>
      </c>
      <c r="D238" s="10" t="str">
        <f>_xlfn.DISPIMG("ID_7BBAD032007C4A588089AC00AA027488",1)</f>
        <v>=DISPIMG("ID_7BBAD032007C4A588089AC00AA027488",1)</v>
      </c>
      <c r="E238" s="10"/>
      <c r="F238" s="7"/>
      <c r="G238" s="15"/>
      <c r="H238" s="15"/>
      <c r="I238" s="15"/>
    </row>
    <row r="239" ht="198.4" customHeight="true" spans="1:9">
      <c r="A239" s="7">
        <v>237</v>
      </c>
      <c r="B239" s="8" t="s">
        <v>319</v>
      </c>
      <c r="C239" s="9" t="s">
        <v>320</v>
      </c>
      <c r="D239" s="10" t="str">
        <f>_xlfn.DISPIMG("ID_46D1BE8DB095466F90BACDF18518B5C8",1)</f>
        <v>=DISPIMG("ID_46D1BE8DB095466F90BACDF18518B5C8",1)</v>
      </c>
      <c r="E239" s="10" t="str">
        <f>_xlfn.DISPIMG("ID_099B69DC1CBE4B7E93E05200435C77C8",1)</f>
        <v>=DISPIMG("ID_099B69DC1CBE4B7E93E05200435C77C8",1)</v>
      </c>
      <c r="F239" s="7" t="s">
        <v>11</v>
      </c>
      <c r="G239" s="15" t="s">
        <v>12</v>
      </c>
      <c r="H239" s="15" t="s">
        <v>12</v>
      </c>
      <c r="I239" s="15" t="s">
        <v>12</v>
      </c>
    </row>
    <row r="240" ht="198.4" customHeight="true" spans="1:9">
      <c r="A240" s="7">
        <v>238</v>
      </c>
      <c r="B240" s="11"/>
      <c r="C240" s="9" t="s">
        <v>321</v>
      </c>
      <c r="D240" s="10" t="str">
        <f>_xlfn.DISPIMG("ID_1D97F77BB83F4723A216A938A0DD04C4",1)</f>
        <v>=DISPIMG("ID_1D97F77BB83F4723A216A938A0DD04C4",1)</v>
      </c>
      <c r="E240" s="10" t="str">
        <f>_xlfn.DISPIMG("ID_75AC6A7B91BB46C190AF49DB92CFDA05",1)</f>
        <v>=DISPIMG("ID_75AC6A7B91BB46C190AF49DB92CFDA05",1)</v>
      </c>
      <c r="F240" s="7" t="s">
        <v>11</v>
      </c>
      <c r="G240" s="15" t="s">
        <v>12</v>
      </c>
      <c r="H240" s="15" t="s">
        <v>12</v>
      </c>
      <c r="I240" s="15" t="s">
        <v>12</v>
      </c>
    </row>
    <row r="241" ht="198.4" customHeight="true" spans="1:9">
      <c r="A241" s="7">
        <v>239</v>
      </c>
      <c r="B241" s="11"/>
      <c r="C241" s="9" t="s">
        <v>322</v>
      </c>
      <c r="D241" s="10" t="str">
        <f>_xlfn.DISPIMG("ID_376E6A39F5994017AA04E018DB94EE72",1)</f>
        <v>=DISPIMG("ID_376E6A39F5994017AA04E018DB94EE72",1)</v>
      </c>
      <c r="E241" s="10" t="str">
        <f>_xlfn.DISPIMG("ID_CA3624DEEC6047DD9FEC207B1DF2A6C4",1)</f>
        <v>=DISPIMG("ID_CA3624DEEC6047DD9FEC207B1DF2A6C4",1)</v>
      </c>
      <c r="F241" s="7" t="s">
        <v>11</v>
      </c>
      <c r="G241" s="15" t="s">
        <v>12</v>
      </c>
      <c r="H241" s="15" t="s">
        <v>12</v>
      </c>
      <c r="I241" s="15" t="s">
        <v>12</v>
      </c>
    </row>
    <row r="242" ht="198.4" customHeight="true" spans="1:9">
      <c r="A242" s="7">
        <v>240</v>
      </c>
      <c r="B242" s="11"/>
      <c r="C242" s="9" t="s">
        <v>323</v>
      </c>
      <c r="D242" s="10" t="str">
        <f>_xlfn.DISPIMG("ID_63E2D2D472E347E289A6101699677BCE",1)</f>
        <v>=DISPIMG("ID_63E2D2D472E347E289A6101699677BCE",1)</v>
      </c>
      <c r="E242" s="10" t="str">
        <f>_xlfn.DISPIMG("ID_25BA9EFAF0CE4A64B4055B64C17CDF41",1)</f>
        <v>=DISPIMG("ID_25BA9EFAF0CE4A64B4055B64C17CDF41",1)</v>
      </c>
      <c r="F242" s="7" t="s">
        <v>11</v>
      </c>
      <c r="G242" s="15" t="s">
        <v>12</v>
      </c>
      <c r="H242" s="15" t="s">
        <v>12</v>
      </c>
      <c r="I242" s="15" t="s">
        <v>12</v>
      </c>
    </row>
    <row r="243" ht="198.4" customHeight="true" spans="1:9">
      <c r="A243" s="7">
        <v>241</v>
      </c>
      <c r="B243" s="11"/>
      <c r="C243" s="9" t="s">
        <v>324</v>
      </c>
      <c r="D243" s="10" t="str">
        <f>_xlfn.DISPIMG("ID_C71E824F739C4ED5ADDD521C3F880B38",1)</f>
        <v>=DISPIMG("ID_C71E824F739C4ED5ADDD521C3F880B38",1)</v>
      </c>
      <c r="E243" s="10"/>
      <c r="F243" s="7"/>
      <c r="G243" s="15"/>
      <c r="H243" s="15"/>
      <c r="I243" s="15"/>
    </row>
    <row r="244" ht="198.4" customHeight="true" spans="1:9">
      <c r="A244" s="7">
        <v>242</v>
      </c>
      <c r="B244" s="11"/>
      <c r="C244" s="9" t="s">
        <v>325</v>
      </c>
      <c r="D244" s="10" t="str">
        <f>_xlfn.DISPIMG("ID_5D08718CC9384616B6DC4F96A9B17863",1)</f>
        <v>=DISPIMG("ID_5D08718CC9384616B6DC4F96A9B17863",1)</v>
      </c>
      <c r="E244" s="10"/>
      <c r="F244" s="7"/>
      <c r="G244" s="15"/>
      <c r="H244" s="15"/>
      <c r="I244" s="15"/>
    </row>
    <row r="245" ht="198.4" customHeight="true" spans="1:9">
      <c r="A245" s="7">
        <v>243</v>
      </c>
      <c r="B245" s="11"/>
      <c r="C245" s="9" t="s">
        <v>326</v>
      </c>
      <c r="D245" s="10" t="str">
        <f>_xlfn.DISPIMG("ID_5EED8DFDEB2C410083C041E8E94E90AD",1)</f>
        <v>=DISPIMG("ID_5EED8DFDEB2C410083C041E8E94E90AD",1)</v>
      </c>
      <c r="E245" s="10"/>
      <c r="F245" s="7"/>
      <c r="G245" s="15"/>
      <c r="H245" s="15"/>
      <c r="I245" s="15"/>
    </row>
    <row r="246" ht="198.4" customHeight="true" spans="1:9">
      <c r="A246" s="7">
        <v>244</v>
      </c>
      <c r="B246" s="9" t="s">
        <v>327</v>
      </c>
      <c r="C246" s="9" t="s">
        <v>328</v>
      </c>
      <c r="D246" s="10" t="str">
        <f>_xlfn.DISPIMG("ID_2F674FE6B7134420BD99A8F8673BE2A2",1)</f>
        <v>=DISPIMG("ID_2F674FE6B7134420BD99A8F8673BE2A2",1)</v>
      </c>
      <c r="E246" s="10"/>
      <c r="F246" s="7" t="s">
        <v>11</v>
      </c>
      <c r="G246" s="15" t="s">
        <v>12</v>
      </c>
      <c r="H246" s="15" t="s">
        <v>12</v>
      </c>
      <c r="I246" s="15" t="s">
        <v>12</v>
      </c>
    </row>
    <row r="247" ht="198.4" customHeight="true" spans="1:9">
      <c r="A247" s="7">
        <v>245</v>
      </c>
      <c r="B247" s="9" t="s">
        <v>329</v>
      </c>
      <c r="C247" s="9" t="s">
        <v>330</v>
      </c>
      <c r="D247" s="10" t="str">
        <f>_xlfn.DISPIMG("ID_E3492BF450604A2C9E70E7DFB14545C8",1)</f>
        <v>=DISPIMG("ID_E3492BF450604A2C9E70E7DFB14545C8",1)</v>
      </c>
      <c r="E247" s="10"/>
      <c r="F247" s="7"/>
      <c r="G247" s="15"/>
      <c r="H247" s="15"/>
      <c r="I247" s="15"/>
    </row>
    <row r="248" ht="198.4" customHeight="true" spans="1:9">
      <c r="A248" s="7">
        <v>246</v>
      </c>
      <c r="B248" s="8" t="s">
        <v>331</v>
      </c>
      <c r="C248" s="9" t="s">
        <v>332</v>
      </c>
      <c r="D248" s="10" t="str">
        <f>_xlfn.DISPIMG("ID_33D24264627A4CB2920DB966ECC7B266",1)</f>
        <v>=DISPIMG("ID_33D24264627A4CB2920DB966ECC7B266",1)</v>
      </c>
      <c r="E248" s="10"/>
      <c r="F248" s="7"/>
      <c r="G248" s="15"/>
      <c r="H248" s="15"/>
      <c r="I248" s="15"/>
    </row>
    <row r="249" ht="198.4" customHeight="true" spans="1:9">
      <c r="A249" s="7">
        <v>247</v>
      </c>
      <c r="B249" s="11"/>
      <c r="C249" s="9" t="s">
        <v>333</v>
      </c>
      <c r="D249" s="10" t="str">
        <f>_xlfn.DISPIMG("ID_AFF6CED9BE3F4B28A2ED7938BE42985F",1)</f>
        <v>=DISPIMG("ID_AFF6CED9BE3F4B28A2ED7938BE42985F",1)</v>
      </c>
      <c r="E249" s="10"/>
      <c r="F249" s="7" t="s">
        <v>11</v>
      </c>
      <c r="G249" s="15" t="s">
        <v>12</v>
      </c>
      <c r="H249" s="15" t="s">
        <v>12</v>
      </c>
      <c r="I249" s="15" t="s">
        <v>12</v>
      </c>
    </row>
    <row r="250" ht="198.4" customHeight="true" spans="1:9">
      <c r="A250" s="7">
        <v>248</v>
      </c>
      <c r="B250" s="8" t="s">
        <v>334</v>
      </c>
      <c r="C250" s="9" t="s">
        <v>335</v>
      </c>
      <c r="D250" s="10" t="str">
        <f>_xlfn.DISPIMG("ID_1DD55BBF63994856906DA83240892DAE",1)</f>
        <v>=DISPIMG("ID_1DD55BBF63994856906DA83240892DAE",1)</v>
      </c>
      <c r="E250" s="10"/>
      <c r="F250" s="7"/>
      <c r="G250" s="15"/>
      <c r="H250" s="15"/>
      <c r="I250" s="15"/>
    </row>
    <row r="251" ht="198.4" customHeight="true" spans="1:9">
      <c r="A251" s="7">
        <v>249</v>
      </c>
      <c r="B251" s="11"/>
      <c r="C251" s="9" t="s">
        <v>336</v>
      </c>
      <c r="D251" s="10" t="str">
        <f>_xlfn.DISPIMG("ID_137725E2EC54422D98C8AB9839B39C82",1)</f>
        <v>=DISPIMG("ID_137725E2EC54422D98C8AB9839B39C82",1)</v>
      </c>
      <c r="E251" s="10" t="str">
        <f>_xlfn.DISPIMG("ID_660DB7FBC1D2471DB5B51AA5CA3CC0FE",1)</f>
        <v>=DISPIMG("ID_660DB7FBC1D2471DB5B51AA5CA3CC0FE",1)</v>
      </c>
      <c r="F251" s="7"/>
      <c r="G251" s="15"/>
      <c r="H251" s="15"/>
      <c r="I251" s="15"/>
    </row>
    <row r="252" ht="198.4" customHeight="true" spans="1:9">
      <c r="A252" s="7">
        <v>250</v>
      </c>
      <c r="B252" s="11"/>
      <c r="C252" s="9" t="s">
        <v>337</v>
      </c>
      <c r="D252" s="10" t="str">
        <f>_xlfn.DISPIMG("ID_C1003EA13348416AA78E0C81FA3A867D",1)</f>
        <v>=DISPIMG("ID_C1003EA13348416AA78E0C81FA3A867D",1)</v>
      </c>
      <c r="E252" s="10" t="str">
        <f>_xlfn.DISPIMG("ID_6FCB89A8F8324C43803F01B28CE57C94",1)</f>
        <v>=DISPIMG("ID_6FCB89A8F8324C43803F01B28CE57C94",1)</v>
      </c>
      <c r="F252" s="7"/>
      <c r="G252" s="15"/>
      <c r="H252" s="15"/>
      <c r="I252" s="15"/>
    </row>
    <row r="253" ht="198.4" customHeight="true" spans="1:9">
      <c r="A253" s="7">
        <v>251</v>
      </c>
      <c r="B253" s="8" t="s">
        <v>338</v>
      </c>
      <c r="C253" s="9" t="s">
        <v>339</v>
      </c>
      <c r="D253" s="10" t="str">
        <f>_xlfn.DISPIMG("ID_43DBC46E6325408BA436D6BEC307418F",1)</f>
        <v>=DISPIMG("ID_43DBC46E6325408BA436D6BEC307418F",1)</v>
      </c>
      <c r="E253" s="10"/>
      <c r="F253" s="7"/>
      <c r="G253" s="15"/>
      <c r="H253" s="15"/>
      <c r="I253" s="15"/>
    </row>
    <row r="254" ht="198.4" customHeight="true" spans="1:9">
      <c r="A254" s="7">
        <v>252</v>
      </c>
      <c r="B254" s="11"/>
      <c r="C254" s="9" t="s">
        <v>340</v>
      </c>
      <c r="D254" s="10" t="str">
        <f>_xlfn.DISPIMG("ID_CE17FD90B4C5498C8563DF6F5636FDB2",1)</f>
        <v>=DISPIMG("ID_CE17FD90B4C5498C8563DF6F5636FDB2",1)</v>
      </c>
      <c r="E254" s="10" t="str">
        <f>_xlfn.DISPIMG("ID_9AB6FD7D17874CBC8292425DC70BF05E",1)</f>
        <v>=DISPIMG("ID_9AB6FD7D17874CBC8292425DC70BF05E",1)</v>
      </c>
      <c r="F254" s="7"/>
      <c r="G254" s="15"/>
      <c r="H254" s="15"/>
      <c r="I254" s="15"/>
    </row>
    <row r="255" ht="198.4" customHeight="true" spans="1:9">
      <c r="A255" s="7">
        <v>253</v>
      </c>
      <c r="B255" s="8" t="s">
        <v>341</v>
      </c>
      <c r="C255" s="9" t="s">
        <v>342</v>
      </c>
      <c r="D255" s="10" t="str">
        <f>_xlfn.DISPIMG("ID_072D4EE05B5D45C79E5CA610C8D98D53",1)</f>
        <v>=DISPIMG("ID_072D4EE05B5D45C79E5CA610C8D98D53",1)</v>
      </c>
      <c r="E255" s="10" t="str">
        <f>_xlfn.DISPIMG("ID_4D7F492603414682914AEE97589F5B23",1)</f>
        <v>=DISPIMG("ID_4D7F492603414682914AEE97589F5B23",1)</v>
      </c>
      <c r="F255" s="7"/>
      <c r="G255" s="15"/>
      <c r="H255" s="15"/>
      <c r="I255" s="15"/>
    </row>
    <row r="256" ht="198.4" customHeight="true" spans="1:9">
      <c r="A256" s="7">
        <v>254</v>
      </c>
      <c r="B256" s="11"/>
      <c r="C256" s="9" t="s">
        <v>343</v>
      </c>
      <c r="D256" s="10" t="str">
        <f>_xlfn.DISPIMG("ID_853EFC83487646EFAF656E7264E23655",1)</f>
        <v>=DISPIMG("ID_853EFC83487646EFAF656E7264E23655",1)</v>
      </c>
      <c r="E256" s="10" t="str">
        <f>_xlfn.DISPIMG("ID_E2EE5FBF65F24CA6B675C87C25682291",1)</f>
        <v>=DISPIMG("ID_E2EE5FBF65F24CA6B675C87C25682291",1)</v>
      </c>
      <c r="F256" s="7"/>
      <c r="G256" s="15"/>
      <c r="H256" s="15"/>
      <c r="I256" s="15"/>
    </row>
    <row r="257" ht="198.4" customHeight="true" spans="1:9">
      <c r="A257" s="7">
        <v>255</v>
      </c>
      <c r="B257" s="9" t="s">
        <v>344</v>
      </c>
      <c r="C257" s="9" t="s">
        <v>345</v>
      </c>
      <c r="D257" s="10" t="str">
        <f>_xlfn.DISPIMG("ID_0779605975544370BF5C6A73E7F3562D",1)</f>
        <v>=DISPIMG("ID_0779605975544370BF5C6A73E7F3562D",1)</v>
      </c>
      <c r="E257" s="10"/>
      <c r="F257" s="7"/>
      <c r="G257" s="15"/>
      <c r="H257" s="15"/>
      <c r="I257" s="15"/>
    </row>
    <row r="258" ht="198.4" customHeight="true" spans="1:9">
      <c r="A258" s="7">
        <v>256</v>
      </c>
      <c r="B258" s="9" t="s">
        <v>346</v>
      </c>
      <c r="C258" s="9" t="s">
        <v>347</v>
      </c>
      <c r="D258" s="10" t="str">
        <f>_xlfn.DISPIMG("ID_6B56C392D45E476CB82775B39E1255C4",1)</f>
        <v>=DISPIMG("ID_6B56C392D45E476CB82775B39E1255C4",1)</v>
      </c>
      <c r="E258" s="10"/>
      <c r="F258" s="7"/>
      <c r="G258" s="15"/>
      <c r="H258" s="15"/>
      <c r="I258" s="15"/>
    </row>
    <row r="259" ht="198.4" customHeight="true" spans="1:9">
      <c r="A259" s="7">
        <v>257</v>
      </c>
      <c r="B259" s="8" t="s">
        <v>348</v>
      </c>
      <c r="C259" s="9" t="s">
        <v>349</v>
      </c>
      <c r="D259" s="10" t="str">
        <f>_xlfn.DISPIMG("ID_BA1CB97D092248C38D70D09AADF4BD30",1)</f>
        <v>=DISPIMG("ID_BA1CB97D092248C38D70D09AADF4BD30",1)</v>
      </c>
      <c r="E259" s="10"/>
      <c r="F259" s="7"/>
      <c r="G259" s="15"/>
      <c r="H259" s="15"/>
      <c r="I259" s="15"/>
    </row>
    <row r="260" ht="198.4" customHeight="true" spans="1:9">
      <c r="A260" s="7">
        <v>258</v>
      </c>
      <c r="B260" s="11"/>
      <c r="C260" s="9" t="s">
        <v>350</v>
      </c>
      <c r="D260" s="10" t="str">
        <f>_xlfn.DISPIMG("ID_98EA0A947B63469E8ED26E4E11F2E1A3",1)</f>
        <v>=DISPIMG("ID_98EA0A947B63469E8ED26E4E11F2E1A3",1)</v>
      </c>
      <c r="E260" s="10" t="str">
        <f>_xlfn.DISPIMG("ID_8ADBEB378AEA42BE98C15998BC377E43",1)</f>
        <v>=DISPIMG("ID_8ADBEB378AEA42BE98C15998BC377E43",1)</v>
      </c>
      <c r="F260" s="7"/>
      <c r="G260" s="15"/>
      <c r="H260" s="15"/>
      <c r="I260" s="15"/>
    </row>
    <row r="261" ht="198.4" customHeight="true" spans="1:9">
      <c r="A261" s="7">
        <v>259</v>
      </c>
      <c r="B261" s="11"/>
      <c r="C261" s="9" t="s">
        <v>351</v>
      </c>
      <c r="D261" s="10" t="str">
        <f>_xlfn.DISPIMG("ID_FD8583F9F85243F6B33B94C953B7083C",1)</f>
        <v>=DISPIMG("ID_FD8583F9F85243F6B33B94C953B7083C",1)</v>
      </c>
      <c r="E261" s="10" t="str">
        <f>_xlfn.DISPIMG("ID_2BD74D6C8B164B668D56658D47616FA5",1)</f>
        <v>=DISPIMG("ID_2BD74D6C8B164B668D56658D47616FA5",1)</v>
      </c>
      <c r="F261" s="7"/>
      <c r="G261" s="15"/>
      <c r="H261" s="15"/>
      <c r="I261" s="15"/>
    </row>
    <row r="262" ht="198.4" customHeight="true" spans="1:9">
      <c r="A262" s="7">
        <v>260</v>
      </c>
      <c r="B262" s="8" t="s">
        <v>352</v>
      </c>
      <c r="C262" s="9" t="s">
        <v>353</v>
      </c>
      <c r="D262" s="10" t="str">
        <f>_xlfn.DISPIMG("ID_0773FE384C694E82B8CB162D24345ABB",1)</f>
        <v>=DISPIMG("ID_0773FE384C694E82B8CB162D24345ABB",1)</v>
      </c>
      <c r="E262" s="10"/>
      <c r="F262" s="7"/>
      <c r="G262" s="15"/>
      <c r="H262" s="15"/>
      <c r="I262" s="15"/>
    </row>
    <row r="263" ht="198.4" customHeight="true" spans="1:9">
      <c r="A263" s="7">
        <v>261</v>
      </c>
      <c r="B263" s="11"/>
      <c r="C263" s="9" t="s">
        <v>354</v>
      </c>
      <c r="D263" s="10" t="str">
        <f>_xlfn.DISPIMG("ID_86E12C898FC3449F980A2002C2F59AE5",1)</f>
        <v>=DISPIMG("ID_86E12C898FC3449F980A2002C2F59AE5",1)</v>
      </c>
      <c r="E263" s="10" t="str">
        <f>_xlfn.DISPIMG("ID_F7F3D807EF754801B48037350CFC26C0",1)</f>
        <v>=DISPIMG("ID_F7F3D807EF754801B48037350CFC26C0",1)</v>
      </c>
      <c r="F263" s="7"/>
      <c r="G263" s="15"/>
      <c r="H263" s="15"/>
      <c r="I263" s="15"/>
    </row>
    <row r="264" ht="198.4" customHeight="true" spans="1:9">
      <c r="A264" s="7">
        <v>262</v>
      </c>
      <c r="B264" s="8" t="s">
        <v>355</v>
      </c>
      <c r="C264" s="9" t="s">
        <v>356</v>
      </c>
      <c r="D264" s="10" t="str">
        <f>_xlfn.DISPIMG("ID_6F14936C26EE4BD391C100DEB0D5E957",1)</f>
        <v>=DISPIMG("ID_6F14936C26EE4BD391C100DEB0D5E957",1)</v>
      </c>
      <c r="E264" s="10" t="str">
        <f>_xlfn.DISPIMG("ID_C017A1C8B8234940A21794681A4AB7AB",1)</f>
        <v>=DISPIMG("ID_C017A1C8B8234940A21794681A4AB7AB",1)</v>
      </c>
      <c r="F264" s="7"/>
      <c r="G264" s="15"/>
      <c r="H264" s="15"/>
      <c r="I264" s="15"/>
    </row>
    <row r="265" ht="198.4" customHeight="true" spans="1:9">
      <c r="A265" s="7">
        <v>263</v>
      </c>
      <c r="B265" s="11"/>
      <c r="C265" s="9" t="s">
        <v>357</v>
      </c>
      <c r="D265" s="10" t="str">
        <f>_xlfn.DISPIMG("ID_21FF5D29662B45CBABAACB9AF6950CD1",1)</f>
        <v>=DISPIMG("ID_21FF5D29662B45CBABAACB9AF6950CD1",1)</v>
      </c>
      <c r="E265" s="10" t="str">
        <f>_xlfn.DISPIMG("ID_81B6F252927947BC851026F536104B22",1)</f>
        <v>=DISPIMG("ID_81B6F252927947BC851026F536104B22",1)</v>
      </c>
      <c r="F265" s="7"/>
      <c r="G265" s="15"/>
      <c r="H265" s="15"/>
      <c r="I265" s="15"/>
    </row>
    <row r="266" ht="198.4" customHeight="true" spans="1:9">
      <c r="A266" s="7">
        <v>264</v>
      </c>
      <c r="B266" s="11"/>
      <c r="C266" s="9" t="s">
        <v>358</v>
      </c>
      <c r="D266" s="10" t="str">
        <f>_xlfn.DISPIMG("ID_8D1DA4A5CFD44A9DBB55DA84CB316718",1)</f>
        <v>=DISPIMG("ID_8D1DA4A5CFD44A9DBB55DA84CB316718",1)</v>
      </c>
      <c r="E266" s="10" t="str">
        <f>_xlfn.DISPIMG("ID_10804249957F48EEB37D84799A2DFCBB",1)</f>
        <v>=DISPIMG("ID_10804249957F48EEB37D84799A2DFCBB",1)</v>
      </c>
      <c r="F266" s="7"/>
      <c r="G266" s="15"/>
      <c r="H266" s="15"/>
      <c r="I266" s="15"/>
    </row>
    <row r="267" ht="198.4" customHeight="true" spans="1:9">
      <c r="A267" s="7">
        <v>265</v>
      </c>
      <c r="B267" s="11"/>
      <c r="C267" s="9" t="s">
        <v>359</v>
      </c>
      <c r="D267" s="10" t="str">
        <f>_xlfn.DISPIMG("ID_60EC468C189940088E679400B946F6F5",1)</f>
        <v>=DISPIMG("ID_60EC468C189940088E679400B946F6F5",1)</v>
      </c>
      <c r="E267" s="10" t="str">
        <f>_xlfn.DISPIMG("ID_1E92DF6C2701450FA6C7484CC45BABF1",1)</f>
        <v>=DISPIMG("ID_1E92DF6C2701450FA6C7484CC45BABF1",1)</v>
      </c>
      <c r="F267" s="7"/>
      <c r="G267" s="15"/>
      <c r="H267" s="15"/>
      <c r="I267" s="15"/>
    </row>
    <row r="268" ht="198.4" customHeight="true" spans="1:9">
      <c r="A268" s="7">
        <v>266</v>
      </c>
      <c r="B268" s="11"/>
      <c r="C268" s="9" t="s">
        <v>360</v>
      </c>
      <c r="D268" s="10" t="str">
        <f>_xlfn.DISPIMG("ID_E17168F0205D4B18B086A0931343B34F",1)</f>
        <v>=DISPIMG("ID_E17168F0205D4B18B086A0931343B34F",1)</v>
      </c>
      <c r="E268" s="10" t="str">
        <f>_xlfn.DISPIMG("ID_940C0D4F54D540C5BCEC311539F3D9A5",1)</f>
        <v>=DISPIMG("ID_940C0D4F54D540C5BCEC311539F3D9A5",1)</v>
      </c>
      <c r="F268" s="7"/>
      <c r="G268" s="15"/>
      <c r="H268" s="15"/>
      <c r="I268" s="15"/>
    </row>
    <row r="269" ht="198.4" customHeight="true" spans="1:9">
      <c r="A269" s="7">
        <v>267</v>
      </c>
      <c r="B269" s="11"/>
      <c r="C269" s="9" t="s">
        <v>361</v>
      </c>
      <c r="D269" s="10" t="str">
        <f>_xlfn.DISPIMG("ID_A4E151EC680E4EA895658972D223195E",1)</f>
        <v>=DISPIMG("ID_A4E151EC680E4EA895658972D223195E",1)</v>
      </c>
      <c r="E269" s="10" t="str">
        <f>_xlfn.DISPIMG("ID_99D5FD0B5B6343979838E03BCE7C7B5B",1)</f>
        <v>=DISPIMG("ID_99D5FD0B5B6343979838E03BCE7C7B5B",1)</v>
      </c>
      <c r="F269" s="7"/>
      <c r="G269" s="15"/>
      <c r="H269" s="15"/>
      <c r="I269" s="15"/>
    </row>
    <row r="270" ht="198.4" customHeight="true" spans="1:9">
      <c r="A270" s="7">
        <v>268</v>
      </c>
      <c r="B270" s="11"/>
      <c r="C270" s="9" t="s">
        <v>362</v>
      </c>
      <c r="D270" s="10" t="str">
        <f>_xlfn.DISPIMG("ID_DD49B353EEAF46F1BC75B4F5A39C45A0",1)</f>
        <v>=DISPIMG("ID_DD49B353EEAF46F1BC75B4F5A39C45A0",1)</v>
      </c>
      <c r="E270" s="10" t="str">
        <f>_xlfn.DISPIMG("ID_C9C8B0BEF06D425CB435871E2B6B3790",1)</f>
        <v>=DISPIMG("ID_C9C8B0BEF06D425CB435871E2B6B3790",1)</v>
      </c>
      <c r="F270" s="7"/>
      <c r="G270" s="15"/>
      <c r="H270" s="15"/>
      <c r="I270" s="15"/>
    </row>
    <row r="271" ht="198.4" customHeight="true" spans="1:9">
      <c r="A271" s="7">
        <v>269</v>
      </c>
      <c r="B271" s="11"/>
      <c r="C271" s="9" t="s">
        <v>363</v>
      </c>
      <c r="D271" s="10" t="str">
        <f>_xlfn.DISPIMG("ID_FC6100E336E443B0BA65B050D5092A45",1)</f>
        <v>=DISPIMG("ID_FC6100E336E443B0BA65B050D5092A45",1)</v>
      </c>
      <c r="E271" s="10"/>
      <c r="F271" s="7"/>
      <c r="G271" s="15"/>
      <c r="H271" s="15"/>
      <c r="I271" s="15"/>
    </row>
    <row r="272" ht="198.4" customHeight="true" spans="1:9">
      <c r="A272" s="7">
        <v>270</v>
      </c>
      <c r="B272" s="8" t="s">
        <v>364</v>
      </c>
      <c r="C272" s="9" t="s">
        <v>365</v>
      </c>
      <c r="D272" s="10" t="str">
        <f>_xlfn.DISPIMG("ID_289059B0295344C68648231B48D032C9",1)</f>
        <v>=DISPIMG("ID_289059B0295344C68648231B48D032C9",1)</v>
      </c>
      <c r="E272" s="10" t="str">
        <f>_xlfn.DISPIMG("ID_23DAF2F796654D6ABA6B5623F75F17FD",1)</f>
        <v>=DISPIMG("ID_23DAF2F796654D6ABA6B5623F75F17FD",1)</v>
      </c>
      <c r="F272" s="7"/>
      <c r="G272" s="15"/>
      <c r="H272" s="15"/>
      <c r="I272" s="15"/>
    </row>
    <row r="273" ht="198.4" customHeight="true" spans="1:9">
      <c r="A273" s="7">
        <v>271</v>
      </c>
      <c r="B273" s="11"/>
      <c r="C273" s="9" t="s">
        <v>366</v>
      </c>
      <c r="D273" s="10" t="str">
        <f>_xlfn.DISPIMG("ID_5012152831044B3ABA2EE21BFFC61EF3",1)</f>
        <v>=DISPIMG("ID_5012152831044B3ABA2EE21BFFC61EF3",1)</v>
      </c>
      <c r="E273" s="10" t="str">
        <f>_xlfn.DISPIMG("ID_0317CF6B614142F094B097679645BD7F",1)</f>
        <v>=DISPIMG("ID_0317CF6B614142F094B097679645BD7F",1)</v>
      </c>
      <c r="F273" s="7"/>
      <c r="G273" s="15"/>
      <c r="H273" s="15"/>
      <c r="I273" s="15"/>
    </row>
    <row r="274" ht="198.4" customHeight="true" spans="1:9">
      <c r="A274" s="7">
        <v>272</v>
      </c>
      <c r="B274" s="11"/>
      <c r="C274" s="9" t="s">
        <v>367</v>
      </c>
      <c r="D274" s="10" t="str">
        <f>_xlfn.DISPIMG("ID_BDCC19F80ED34C25ADAC38C02AF2B2F9",1)</f>
        <v>=DISPIMG("ID_BDCC19F80ED34C25ADAC38C02AF2B2F9",1)</v>
      </c>
      <c r="E274" s="10" t="str">
        <f>_xlfn.DISPIMG("ID_CC6529E5A4A74492BD87381B242A20DD",1)</f>
        <v>=DISPIMG("ID_CC6529E5A4A74492BD87381B242A20DD",1)</v>
      </c>
      <c r="F274" s="7"/>
      <c r="G274" s="15"/>
      <c r="H274" s="15"/>
      <c r="I274" s="15"/>
    </row>
    <row r="275" ht="198.4" customHeight="true" spans="1:9">
      <c r="A275" s="7">
        <v>273</v>
      </c>
      <c r="B275" s="8" t="s">
        <v>368</v>
      </c>
      <c r="C275" s="9" t="s">
        <v>369</v>
      </c>
      <c r="D275" s="10" t="str">
        <f>_xlfn.DISPIMG("ID_B8E73EDF70774FA9A9AC7891E3A18A7A",1)</f>
        <v>=DISPIMG("ID_B8E73EDF70774FA9A9AC7891E3A18A7A",1)</v>
      </c>
      <c r="E275" s="10" t="str">
        <f>_xlfn.DISPIMG("ID_74085D5528EC413DA5C0B22501A290CB",1)</f>
        <v>=DISPIMG("ID_74085D5528EC413DA5C0B22501A290CB",1)</v>
      </c>
      <c r="F275" s="7"/>
      <c r="G275" s="15"/>
      <c r="H275" s="15"/>
      <c r="I275" s="15"/>
    </row>
    <row r="276" ht="198.4" customHeight="true" spans="1:9">
      <c r="A276" s="7">
        <v>274</v>
      </c>
      <c r="B276" s="11"/>
      <c r="C276" s="9" t="s">
        <v>370</v>
      </c>
      <c r="D276" s="10" t="str">
        <f>_xlfn.DISPIMG("ID_7AC7421026F44B3FA52BED46D45359E8",1)</f>
        <v>=DISPIMG("ID_7AC7421026F44B3FA52BED46D45359E8",1)</v>
      </c>
      <c r="E276" s="10" t="str">
        <f>_xlfn.DISPIMG("ID_FE0D9ACD621D41E1B52114CB6B195138",1)</f>
        <v>=DISPIMG("ID_FE0D9ACD621D41E1B52114CB6B195138",1)</v>
      </c>
      <c r="F276" s="7"/>
      <c r="G276" s="15"/>
      <c r="H276" s="15"/>
      <c r="I276" s="15"/>
    </row>
    <row r="277" ht="198.4" customHeight="true" spans="1:9">
      <c r="A277" s="7">
        <v>275</v>
      </c>
      <c r="B277" s="11"/>
      <c r="C277" s="9" t="s">
        <v>371</v>
      </c>
      <c r="D277" s="10" t="str">
        <f>_xlfn.DISPIMG("ID_F28556D5119B4CF98C14F24DCDE9C61E",1)</f>
        <v>=DISPIMG("ID_F28556D5119B4CF98C14F24DCDE9C61E",1)</v>
      </c>
      <c r="E277" s="10" t="str">
        <f>_xlfn.DISPIMG("ID_175771D361DB4F829A64DF4BEA1FF91F",1)</f>
        <v>=DISPIMG("ID_175771D361DB4F829A64DF4BEA1FF91F",1)</v>
      </c>
      <c r="F277" s="7"/>
      <c r="G277" s="15"/>
      <c r="H277" s="15"/>
      <c r="I277" s="15"/>
    </row>
    <row r="278" ht="198.4" customHeight="true" spans="1:9">
      <c r="A278" s="7">
        <v>276</v>
      </c>
      <c r="B278" s="11"/>
      <c r="C278" s="9" t="s">
        <v>372</v>
      </c>
      <c r="D278" s="10" t="str">
        <f>_xlfn.DISPIMG("ID_960F85029BAD43FCB0FE5B77A379078F",1)</f>
        <v>=DISPIMG("ID_960F85029BAD43FCB0FE5B77A379078F",1)</v>
      </c>
      <c r="E278" s="10" t="str">
        <f>_xlfn.DISPIMG("ID_AAD2FF6607AC473B96126AAA8AE1E08B",1)</f>
        <v>=DISPIMG("ID_AAD2FF6607AC473B96126AAA8AE1E08B",1)</v>
      </c>
      <c r="F278" s="7"/>
      <c r="G278" s="15"/>
      <c r="H278" s="15"/>
      <c r="I278" s="15"/>
    </row>
    <row r="279" ht="198.4" customHeight="true" spans="1:9">
      <c r="A279" s="7">
        <v>277</v>
      </c>
      <c r="B279" s="11"/>
      <c r="C279" s="9" t="s">
        <v>373</v>
      </c>
      <c r="D279" s="10" t="str">
        <f>_xlfn.DISPIMG("ID_53D0F738A7004E4EA02A0865EA01885B",1)</f>
        <v>=DISPIMG("ID_53D0F738A7004E4EA02A0865EA01885B",1)</v>
      </c>
      <c r="E279" s="10" t="str">
        <f>_xlfn.DISPIMG("ID_4ADCD32F7B364C129B54FB097DCA96E4",1)</f>
        <v>=DISPIMG("ID_4ADCD32F7B364C129B54FB097DCA96E4",1)</v>
      </c>
      <c r="F279" s="7"/>
      <c r="G279" s="15"/>
      <c r="H279" s="15"/>
      <c r="I279" s="15"/>
    </row>
    <row r="280" ht="198.4" customHeight="true" spans="1:9">
      <c r="A280" s="7">
        <v>278</v>
      </c>
      <c r="B280" s="11"/>
      <c r="C280" s="9" t="s">
        <v>374</v>
      </c>
      <c r="D280" s="10" t="str">
        <f>_xlfn.DISPIMG("ID_7F67499760CC4979B38EBE6EB79ADCBB",1)</f>
        <v>=DISPIMG("ID_7F67499760CC4979B38EBE6EB79ADCBB",1)</v>
      </c>
      <c r="E280" s="10" t="str">
        <f>_xlfn.DISPIMG("ID_63A3ADD6472A40259E1C3A2C707C1717",1)</f>
        <v>=DISPIMG("ID_63A3ADD6472A40259E1C3A2C707C1717",1)</v>
      </c>
      <c r="F280" s="7"/>
      <c r="G280" s="15"/>
      <c r="H280" s="15"/>
      <c r="I280" s="15"/>
    </row>
    <row r="281" ht="198.4" customHeight="true" spans="1:9">
      <c r="A281" s="7">
        <v>279</v>
      </c>
      <c r="B281" s="8" t="s">
        <v>375</v>
      </c>
      <c r="C281" s="9" t="s">
        <v>376</v>
      </c>
      <c r="D281" s="10" t="str">
        <f>_xlfn.DISPIMG("ID_6F2385140A514B52B171361ABBF3F2A5",1)</f>
        <v>=DISPIMG("ID_6F2385140A514B52B171361ABBF3F2A5",1)</v>
      </c>
      <c r="E281" s="10" t="str">
        <f>_xlfn.DISPIMG("ID_6CD6AFA771F5433690E39810E9762F53",1)</f>
        <v>=DISPIMG("ID_6CD6AFA771F5433690E39810E9762F53",1)</v>
      </c>
      <c r="F281" s="7"/>
      <c r="G281" s="15"/>
      <c r="H281" s="15"/>
      <c r="I281" s="15"/>
    </row>
    <row r="282" ht="198.4" customHeight="true" spans="1:9">
      <c r="A282" s="7">
        <v>280</v>
      </c>
      <c r="B282" s="11"/>
      <c r="C282" s="9" t="s">
        <v>377</v>
      </c>
      <c r="D282" s="10" t="str">
        <f>_xlfn.DISPIMG("ID_BF83183DA1F54612A995F21E1D789F30",1)</f>
        <v>=DISPIMG("ID_BF83183DA1F54612A995F21E1D789F30",1)</v>
      </c>
      <c r="E282" s="10" t="str">
        <f>_xlfn.DISPIMG("ID_8530D3E4B43D4FE5A2A49C227AB4801E",1)</f>
        <v>=DISPIMG("ID_8530D3E4B43D4FE5A2A49C227AB4801E",1)</v>
      </c>
      <c r="F282" s="7"/>
      <c r="G282" s="15"/>
      <c r="H282" s="15"/>
      <c r="I282" s="15"/>
    </row>
    <row r="283" ht="198.4" customHeight="true" spans="1:9">
      <c r="A283" s="7">
        <v>281</v>
      </c>
      <c r="B283" s="11"/>
      <c r="C283" s="9" t="s">
        <v>378</v>
      </c>
      <c r="D283" s="10" t="str">
        <f>_xlfn.DISPIMG("ID_DEAA982F09B94D0CB91AF4B6B32701FE",1)</f>
        <v>=DISPIMG("ID_DEAA982F09B94D0CB91AF4B6B32701FE",1)</v>
      </c>
      <c r="E283" s="10" t="str">
        <f>_xlfn.DISPIMG("ID_5F658F1227414A239621CDFE283ECF43",1)</f>
        <v>=DISPIMG("ID_5F658F1227414A239621CDFE283ECF43",1)</v>
      </c>
      <c r="F283" s="7"/>
      <c r="G283" s="15"/>
      <c r="H283" s="15"/>
      <c r="I283" s="15"/>
    </row>
    <row r="284" ht="198.4" customHeight="true" spans="1:9">
      <c r="A284" s="7">
        <v>282</v>
      </c>
      <c r="B284" s="8" t="s">
        <v>379</v>
      </c>
      <c r="C284" s="9" t="s">
        <v>380</v>
      </c>
      <c r="D284" s="10" t="str">
        <f>_xlfn.DISPIMG("ID_018378F702DE4936A72B408EFCACE6DB",1)</f>
        <v>=DISPIMG("ID_018378F702DE4936A72B408EFCACE6DB",1)</v>
      </c>
      <c r="E284" s="10" t="str">
        <f>_xlfn.DISPIMG("ID_94AF70387FDD456491A98A26D5AF2CAF",1)</f>
        <v>=DISPIMG("ID_94AF70387FDD456491A98A26D5AF2CAF",1)</v>
      </c>
      <c r="F284" s="7"/>
      <c r="G284" s="15"/>
      <c r="H284" s="15"/>
      <c r="I284" s="15"/>
    </row>
    <row r="285" ht="198.4" customHeight="true" spans="1:9">
      <c r="A285" s="7">
        <v>283</v>
      </c>
      <c r="B285" s="11"/>
      <c r="C285" s="9" t="s">
        <v>381</v>
      </c>
      <c r="D285" s="10" t="str">
        <f>_xlfn.DISPIMG("ID_5CBD4835699B450E937352F007553A0C",1)</f>
        <v>=DISPIMG("ID_5CBD4835699B450E937352F007553A0C",1)</v>
      </c>
      <c r="E285" s="10" t="str">
        <f>_xlfn.DISPIMG("ID_609AEEB1C8E04A32978755E027957755",1)</f>
        <v>=DISPIMG("ID_609AEEB1C8E04A32978755E027957755",1)</v>
      </c>
      <c r="F285" s="7"/>
      <c r="G285" s="15"/>
      <c r="H285" s="15"/>
      <c r="I285" s="15"/>
    </row>
    <row r="286" ht="198.4" customHeight="true" spans="1:9">
      <c r="A286" s="7">
        <v>284</v>
      </c>
      <c r="B286" s="11"/>
      <c r="C286" s="9" t="s">
        <v>382</v>
      </c>
      <c r="D286" s="10" t="str">
        <f>_xlfn.DISPIMG("ID_B0508D1050B1420CAD525493D45E52FE",1)</f>
        <v>=DISPIMG("ID_B0508D1050B1420CAD525493D45E52FE",1)</v>
      </c>
      <c r="E286" s="10" t="str">
        <f>_xlfn.DISPIMG("ID_8D83E12AED044C47B1E0E6FA0F6246D5",1)</f>
        <v>=DISPIMG("ID_8D83E12AED044C47B1E0E6FA0F6246D5",1)</v>
      </c>
      <c r="F286" s="7"/>
      <c r="G286" s="15"/>
      <c r="H286" s="15"/>
      <c r="I286" s="15"/>
    </row>
    <row r="287" ht="198.4" customHeight="true" spans="1:9">
      <c r="A287" s="7">
        <v>285</v>
      </c>
      <c r="B287" s="8" t="s">
        <v>383</v>
      </c>
      <c r="C287" s="9" t="s">
        <v>384</v>
      </c>
      <c r="D287" s="10" t="str">
        <f>_xlfn.DISPIMG("ID_63D9108869A24464B2D0264083EC0CEB",1)</f>
        <v>=DISPIMG("ID_63D9108869A24464B2D0264083EC0CEB",1)</v>
      </c>
      <c r="E287" s="10" t="str">
        <f>_xlfn.DISPIMG("ID_D47AB82AF05F4094ADC030F6532AD91D",1)</f>
        <v>=DISPIMG("ID_D47AB82AF05F4094ADC030F6532AD91D",1)</v>
      </c>
      <c r="F287" s="7"/>
      <c r="G287" s="15"/>
      <c r="H287" s="15"/>
      <c r="I287" s="15"/>
    </row>
    <row r="288" ht="198.4" customHeight="true" spans="1:9">
      <c r="A288" s="7">
        <v>286</v>
      </c>
      <c r="B288" s="11"/>
      <c r="C288" s="9" t="s">
        <v>385</v>
      </c>
      <c r="D288" s="10" t="str">
        <f>_xlfn.DISPIMG("ID_28BCBF9959E74A3E9D86874E76AECC3D",1)</f>
        <v>=DISPIMG("ID_28BCBF9959E74A3E9D86874E76AECC3D",1)</v>
      </c>
      <c r="E288" s="10" t="str">
        <f>_xlfn.DISPIMG("ID_04CD3CBBCEDE4F0982EE94CDF54D1DA1",1)</f>
        <v>=DISPIMG("ID_04CD3CBBCEDE4F0982EE94CDF54D1DA1",1)</v>
      </c>
      <c r="F288" s="7"/>
      <c r="G288" s="15"/>
      <c r="H288" s="15"/>
      <c r="I288" s="15"/>
    </row>
    <row r="289" ht="198.4" customHeight="true" spans="1:9">
      <c r="A289" s="7">
        <v>287</v>
      </c>
      <c r="B289" s="11"/>
      <c r="C289" s="9" t="s">
        <v>386</v>
      </c>
      <c r="D289" s="10" t="str">
        <f>_xlfn.DISPIMG("ID_C028CB68ECD24486A5D4A0A97A487EF1",1)</f>
        <v>=DISPIMG("ID_C028CB68ECD24486A5D4A0A97A487EF1",1)</v>
      </c>
      <c r="E289" s="10"/>
      <c r="F289" s="7"/>
      <c r="G289" s="15"/>
      <c r="H289" s="15"/>
      <c r="I289" s="15"/>
    </row>
    <row r="290" ht="198.4" customHeight="true" spans="1:9">
      <c r="A290" s="7">
        <v>288</v>
      </c>
      <c r="B290" s="8" t="s">
        <v>387</v>
      </c>
      <c r="C290" s="9" t="s">
        <v>388</v>
      </c>
      <c r="D290" s="10" t="str">
        <f>_xlfn.DISPIMG("ID_07FB9D192AC940E4A51D92F23FCF46EB",1)</f>
        <v>=DISPIMG("ID_07FB9D192AC940E4A51D92F23FCF46EB",1)</v>
      </c>
      <c r="E290" s="10" t="str">
        <f>_xlfn.DISPIMG("ID_25D0B490041C412D9D15E017FA3C0125",1)</f>
        <v>=DISPIMG("ID_25D0B490041C412D9D15E017FA3C0125",1)</v>
      </c>
      <c r="F290" s="7"/>
      <c r="G290" s="15"/>
      <c r="H290" s="15"/>
      <c r="I290" s="15"/>
    </row>
    <row r="291" ht="198.4" customHeight="true" spans="1:9">
      <c r="A291" s="7">
        <v>289</v>
      </c>
      <c r="B291" s="11"/>
      <c r="C291" s="9" t="s">
        <v>389</v>
      </c>
      <c r="D291" s="10" t="str">
        <f>_xlfn.DISPIMG("ID_004B9888B3314F0F8E6CFBD7A4FCADDD",1)</f>
        <v>=DISPIMG("ID_004B9888B3314F0F8E6CFBD7A4FCADDD",1)</v>
      </c>
      <c r="E291" s="10" t="str">
        <f>_xlfn.DISPIMG("ID_13CF3B0A9D51469A8CA4B49B98DBAFA1",1)</f>
        <v>=DISPIMG("ID_13CF3B0A9D51469A8CA4B49B98DBAFA1",1)</v>
      </c>
      <c r="F291" s="7"/>
      <c r="G291" s="15"/>
      <c r="H291" s="15"/>
      <c r="I291" s="15"/>
    </row>
    <row r="292" ht="198.4" customHeight="true" spans="1:9">
      <c r="A292" s="7">
        <v>290</v>
      </c>
      <c r="B292" s="11"/>
      <c r="C292" s="9" t="s">
        <v>390</v>
      </c>
      <c r="D292" s="10" t="str">
        <f>_xlfn.DISPIMG("ID_9B180122D60F4397AA052131C45CBBDA",1)</f>
        <v>=DISPIMG("ID_9B180122D60F4397AA052131C45CBBDA",1)</v>
      </c>
      <c r="E292" s="10"/>
      <c r="F292" s="7"/>
      <c r="G292" s="15"/>
      <c r="H292" s="15"/>
      <c r="I292" s="15"/>
    </row>
    <row r="293" ht="198.4" customHeight="true" spans="1:9">
      <c r="A293" s="7">
        <v>291</v>
      </c>
      <c r="B293" s="11"/>
      <c r="C293" s="9" t="s">
        <v>391</v>
      </c>
      <c r="D293" s="10" t="str">
        <f>_xlfn.DISPIMG("ID_1B2D15A9E80241618DCBE3E1AF91099D",1)</f>
        <v>=DISPIMG("ID_1B2D15A9E80241618DCBE3E1AF91099D",1)</v>
      </c>
      <c r="E293" s="10"/>
      <c r="F293" s="7"/>
      <c r="G293" s="15"/>
      <c r="H293" s="15"/>
      <c r="I293" s="15"/>
    </row>
    <row r="294" ht="198.4" customHeight="true" spans="1:9">
      <c r="A294" s="7">
        <v>292</v>
      </c>
      <c r="B294" s="9" t="s">
        <v>392</v>
      </c>
      <c r="C294" s="9" t="s">
        <v>393</v>
      </c>
      <c r="D294" s="10" t="str">
        <f>_xlfn.DISPIMG("ID_0DD8DD0C39324397ABEB9485F27FF7F6",1)</f>
        <v>=DISPIMG("ID_0DD8DD0C39324397ABEB9485F27FF7F6",1)</v>
      </c>
      <c r="E294" s="10" t="str">
        <f>_xlfn.DISPIMG("ID_49A3AB30D67845238806702C7D288829",1)</f>
        <v>=DISPIMG("ID_49A3AB30D67845238806702C7D288829",1)</v>
      </c>
      <c r="F294" s="7"/>
      <c r="G294" s="15"/>
      <c r="H294" s="15"/>
      <c r="I294" s="15"/>
    </row>
    <row r="295" ht="198.4" customHeight="true" spans="1:9">
      <c r="A295" s="7">
        <v>293</v>
      </c>
      <c r="B295" s="9" t="s">
        <v>394</v>
      </c>
      <c r="C295" s="9" t="s">
        <v>395</v>
      </c>
      <c r="D295" s="10" t="str">
        <f>_xlfn.DISPIMG("ID_B3C5D60FC9A0455BB94E2D1715A0EF11",1)</f>
        <v>=DISPIMG("ID_B3C5D60FC9A0455BB94E2D1715A0EF11",1)</v>
      </c>
      <c r="E295" s="10"/>
      <c r="F295" s="7"/>
      <c r="G295" s="15"/>
      <c r="H295" s="15"/>
      <c r="I295" s="15"/>
    </row>
    <row r="296" ht="198.4" customHeight="true" spans="1:9">
      <c r="A296" s="7">
        <v>294</v>
      </c>
      <c r="B296" s="9" t="s">
        <v>396</v>
      </c>
      <c r="C296" s="9" t="s">
        <v>397</v>
      </c>
      <c r="D296" s="10" t="str">
        <f>_xlfn.DISPIMG("ID_7CA8C459B995448F8159A9FD0678AA4A",1)</f>
        <v>=DISPIMG("ID_7CA8C459B995448F8159A9FD0678AA4A",1)</v>
      </c>
      <c r="E296" s="10"/>
      <c r="F296" s="7"/>
      <c r="G296" s="15"/>
      <c r="H296" s="15"/>
      <c r="I296" s="15"/>
    </row>
    <row r="297" ht="198.4" customHeight="true" spans="1:9">
      <c r="A297" s="7">
        <v>295</v>
      </c>
      <c r="B297" s="8" t="s">
        <v>398</v>
      </c>
      <c r="C297" s="9" t="s">
        <v>399</v>
      </c>
      <c r="D297" s="10" t="str">
        <f>_xlfn.DISPIMG("ID_886926460BDE444E83182513536DCEA1",1)</f>
        <v>=DISPIMG("ID_886926460BDE444E83182513536DCEA1",1)</v>
      </c>
      <c r="E297" s="10" t="str">
        <f>_xlfn.DISPIMG("ID_420C4A77E29644778135A52B59609BCD",1)</f>
        <v>=DISPIMG("ID_420C4A77E29644778135A52B59609BCD",1)</v>
      </c>
      <c r="F297" s="7" t="s">
        <v>11</v>
      </c>
      <c r="G297" s="15" t="s">
        <v>12</v>
      </c>
      <c r="H297" s="15" t="s">
        <v>12</v>
      </c>
      <c r="I297" s="15" t="s">
        <v>12</v>
      </c>
    </row>
    <row r="298" ht="198.4" customHeight="true" spans="1:9">
      <c r="A298" s="7">
        <v>296</v>
      </c>
      <c r="B298" s="11"/>
      <c r="C298" s="9" t="s">
        <v>400</v>
      </c>
      <c r="D298" s="10" t="str">
        <f>_xlfn.DISPIMG("ID_A5592150E93F42D79876EBA5B6645A63",1)</f>
        <v>=DISPIMG("ID_A5592150E93F42D79876EBA5B6645A63",1)</v>
      </c>
      <c r="E298" s="10"/>
      <c r="F298" s="7" t="s">
        <v>11</v>
      </c>
      <c r="G298" s="15" t="s">
        <v>12</v>
      </c>
      <c r="H298" s="15" t="s">
        <v>12</v>
      </c>
      <c r="I298" s="15" t="s">
        <v>12</v>
      </c>
    </row>
    <row r="299" ht="198.4" customHeight="true" spans="1:9">
      <c r="A299" s="7">
        <v>297</v>
      </c>
      <c r="B299" s="8" t="s">
        <v>401</v>
      </c>
      <c r="C299" s="9" t="s">
        <v>402</v>
      </c>
      <c r="D299" s="10" t="str">
        <f>_xlfn.DISPIMG("ID_A5AA3E9D099042F5B48C03F18EEA1B7B",1)</f>
        <v>=DISPIMG("ID_A5AA3E9D099042F5B48C03F18EEA1B7B",1)</v>
      </c>
      <c r="E299" s="10" t="str">
        <f>_xlfn.DISPIMG("ID_B3183A7992C74855B3741445395255A5",1)</f>
        <v>=DISPIMG("ID_B3183A7992C74855B3741445395255A5",1)</v>
      </c>
      <c r="F299" s="7"/>
      <c r="G299" s="15"/>
      <c r="H299" s="15"/>
      <c r="I299" s="15"/>
    </row>
    <row r="300" ht="198.4" customHeight="true" spans="1:9">
      <c r="A300" s="7">
        <v>298</v>
      </c>
      <c r="B300" s="11"/>
      <c r="C300" s="9" t="s">
        <v>403</v>
      </c>
      <c r="D300" s="10" t="str">
        <f>_xlfn.DISPIMG("ID_3B2D9C13D611463EBDA5DE7E56B8A27A",1)</f>
        <v>=DISPIMG("ID_3B2D9C13D611463EBDA5DE7E56B8A27A",1)</v>
      </c>
      <c r="E300" s="10" t="str">
        <f>_xlfn.DISPIMG("ID_6B270926C2DF4BEC97008B5332CFDBD3",1)</f>
        <v>=DISPIMG("ID_6B270926C2DF4BEC97008B5332CFDBD3",1)</v>
      </c>
      <c r="F300" s="7"/>
      <c r="G300" s="15"/>
      <c r="H300" s="15"/>
      <c r="I300" s="15"/>
    </row>
    <row r="301" ht="198.4" customHeight="true" spans="1:9">
      <c r="A301" s="7">
        <v>299</v>
      </c>
      <c r="B301" s="11"/>
      <c r="C301" s="9" t="s">
        <v>404</v>
      </c>
      <c r="D301" s="10" t="str">
        <f>_xlfn.DISPIMG("ID_AF6A20B215A5471EB5AAFF87FC6C8CFF",1)</f>
        <v>=DISPIMG("ID_AF6A20B215A5471EB5AAFF87FC6C8CFF",1)</v>
      </c>
      <c r="E301" s="10"/>
      <c r="F301" s="7"/>
      <c r="G301" s="15"/>
      <c r="H301" s="15"/>
      <c r="I301" s="15"/>
    </row>
    <row r="302" ht="198.4" customHeight="true" spans="1:9">
      <c r="A302" s="7">
        <v>300</v>
      </c>
      <c r="B302" s="11"/>
      <c r="C302" s="9" t="s">
        <v>405</v>
      </c>
      <c r="D302" s="10" t="str">
        <f>_xlfn.DISPIMG("ID_A80DC9640C674EEAB4D9C9C1EC826544",1)</f>
        <v>=DISPIMG("ID_A80DC9640C674EEAB4D9C9C1EC826544",1)</v>
      </c>
      <c r="E302" s="10"/>
      <c r="F302" s="7"/>
      <c r="G302" s="15"/>
      <c r="H302" s="15"/>
      <c r="I302" s="15"/>
    </row>
    <row r="303" ht="198.4" customHeight="true" spans="1:9">
      <c r="A303" s="7">
        <v>301</v>
      </c>
      <c r="B303" s="11"/>
      <c r="C303" s="9" t="s">
        <v>406</v>
      </c>
      <c r="D303" s="10" t="str">
        <f>_xlfn.DISPIMG("ID_FE262E11ACF842AD980F611791F93340",1)</f>
        <v>=DISPIMG("ID_FE262E11ACF842AD980F611791F93340",1)</v>
      </c>
      <c r="E303" s="10" t="str">
        <f>_xlfn.DISPIMG("ID_13392A63B1AF45C2ADF7AC6DD29DEB3C",1)</f>
        <v>=DISPIMG("ID_13392A63B1AF45C2ADF7AC6DD29DEB3C",1)</v>
      </c>
      <c r="F303" s="7"/>
      <c r="G303" s="15"/>
      <c r="H303" s="15"/>
      <c r="I303" s="15"/>
    </row>
    <row r="304" ht="198.4" customHeight="true" spans="1:9">
      <c r="A304" s="7">
        <v>302</v>
      </c>
      <c r="B304" s="11"/>
      <c r="C304" s="9" t="s">
        <v>407</v>
      </c>
      <c r="D304" s="10" t="str">
        <f>_xlfn.DISPIMG("ID_FAA0AF08D03E4C02A827026988B0338B",1)</f>
        <v>=DISPIMG("ID_FAA0AF08D03E4C02A827026988B0338B",1)</v>
      </c>
      <c r="E304" s="10" t="str">
        <f>_xlfn.DISPIMG("ID_8CA3CDB34F604E9DBFD59248CC8623DC",1)</f>
        <v>=DISPIMG("ID_8CA3CDB34F604E9DBFD59248CC8623DC",1)</v>
      </c>
      <c r="F304" s="7"/>
      <c r="G304" s="15"/>
      <c r="H304" s="15"/>
      <c r="I304" s="15"/>
    </row>
    <row r="305" ht="198.4" customHeight="true" spans="1:9">
      <c r="A305" s="7">
        <v>303</v>
      </c>
      <c r="B305" s="11"/>
      <c r="C305" s="9" t="s">
        <v>408</v>
      </c>
      <c r="D305" s="10" t="str">
        <f>_xlfn.DISPIMG("ID_4B2FAAB489B64405A50B86EBCFADE5E7",1)</f>
        <v>=DISPIMG("ID_4B2FAAB489B64405A50B86EBCFADE5E7",1)</v>
      </c>
      <c r="E305" s="10" t="str">
        <f>_xlfn.DISPIMG("ID_2A4DBCF0B34F455FA472273D28179F6D",1)</f>
        <v>=DISPIMG("ID_2A4DBCF0B34F455FA472273D28179F6D",1)</v>
      </c>
      <c r="F305" s="7"/>
      <c r="G305" s="15"/>
      <c r="H305" s="15"/>
      <c r="I305" s="15"/>
    </row>
    <row r="306" ht="198.4" customHeight="true" spans="1:9">
      <c r="A306" s="7">
        <v>304</v>
      </c>
      <c r="B306" s="8" t="s">
        <v>409</v>
      </c>
      <c r="C306" s="9" t="s">
        <v>410</v>
      </c>
      <c r="D306" s="10" t="str">
        <f>_xlfn.DISPIMG("ID_930F32C7007B4F9CB83CDC1AC462E20F",1)</f>
        <v>=DISPIMG("ID_930F32C7007B4F9CB83CDC1AC462E20F",1)</v>
      </c>
      <c r="E306" s="10" t="str">
        <f>_xlfn.DISPIMG("ID_9516DBD8A47A44F98A182CF621F223CA",1)</f>
        <v>=DISPIMG("ID_9516DBD8A47A44F98A182CF621F223CA",1)</v>
      </c>
      <c r="F306" s="7"/>
      <c r="G306" s="15"/>
      <c r="H306" s="15"/>
      <c r="I306" s="15"/>
    </row>
    <row r="307" ht="198.4" customHeight="true" spans="1:9">
      <c r="A307" s="7">
        <v>305</v>
      </c>
      <c r="B307" s="11"/>
      <c r="C307" s="9" t="s">
        <v>411</v>
      </c>
      <c r="D307" s="10" t="str">
        <f>_xlfn.DISPIMG("ID_E512090C05F44BC48D29B9E7C8F8943B",1)</f>
        <v>=DISPIMG("ID_E512090C05F44BC48D29B9E7C8F8943B",1)</v>
      </c>
      <c r="E307" s="10"/>
      <c r="F307" s="7"/>
      <c r="G307" s="15"/>
      <c r="H307" s="15"/>
      <c r="I307" s="15"/>
    </row>
    <row r="308" ht="198.4" customHeight="true" spans="1:9">
      <c r="A308" s="7">
        <v>306</v>
      </c>
      <c r="B308" s="11"/>
      <c r="C308" s="9" t="s">
        <v>412</v>
      </c>
      <c r="D308" s="10" t="str">
        <f>_xlfn.DISPIMG("ID_B64B46CF3B494051BBEF44BD41019A85",1)</f>
        <v>=DISPIMG("ID_B64B46CF3B494051BBEF44BD41019A85",1)</v>
      </c>
      <c r="E308" s="10"/>
      <c r="F308" s="7"/>
      <c r="G308" s="15"/>
      <c r="H308" s="15"/>
      <c r="I308" s="15"/>
    </row>
    <row r="309" ht="198.4" customHeight="true" spans="1:9">
      <c r="A309" s="7">
        <v>307</v>
      </c>
      <c r="B309" s="11"/>
      <c r="C309" s="9" t="s">
        <v>413</v>
      </c>
      <c r="D309" s="10" t="str">
        <f>_xlfn.DISPIMG("ID_6335114793C840F79287A40AF2B0877B",1)</f>
        <v>=DISPIMG("ID_6335114793C840F79287A40AF2B0877B",1)</v>
      </c>
      <c r="E309" s="10"/>
      <c r="F309" s="7"/>
      <c r="G309" s="15"/>
      <c r="H309" s="15"/>
      <c r="I309" s="15"/>
    </row>
  </sheetData>
  <autoFilter ref="A2:F309">
    <extLst/>
  </autoFilter>
  <mergeCells count="74">
    <mergeCell ref="A1:I1"/>
    <mergeCell ref="H2:I2"/>
    <mergeCell ref="B3:B6"/>
    <mergeCell ref="B7:B11"/>
    <mergeCell ref="B12:B15"/>
    <mergeCell ref="B16:B22"/>
    <mergeCell ref="B23:B28"/>
    <mergeCell ref="B29:B34"/>
    <mergeCell ref="B35:B39"/>
    <mergeCell ref="B40:B43"/>
    <mergeCell ref="B44:B48"/>
    <mergeCell ref="B50:B56"/>
    <mergeCell ref="B60:B64"/>
    <mergeCell ref="B66:B67"/>
    <mergeCell ref="B68:B69"/>
    <mergeCell ref="B70:B72"/>
    <mergeCell ref="B73:B75"/>
    <mergeCell ref="B76:B77"/>
    <mergeCell ref="B78:B80"/>
    <mergeCell ref="B81:B83"/>
    <mergeCell ref="B84:B85"/>
    <mergeCell ref="B86:B88"/>
    <mergeCell ref="B89:B93"/>
    <mergeCell ref="B94:B98"/>
    <mergeCell ref="B101:B103"/>
    <mergeCell ref="B104:B107"/>
    <mergeCell ref="B109:B112"/>
    <mergeCell ref="B114:B116"/>
    <mergeCell ref="B117:B122"/>
    <mergeCell ref="B123:B126"/>
    <mergeCell ref="B127:B128"/>
    <mergeCell ref="B129:B133"/>
    <mergeCell ref="B134:B135"/>
    <mergeCell ref="B136:B137"/>
    <mergeCell ref="B138:B142"/>
    <mergeCell ref="B143:B147"/>
    <mergeCell ref="B148:B150"/>
    <mergeCell ref="B151:B152"/>
    <mergeCell ref="B153:B155"/>
    <mergeCell ref="B157:B159"/>
    <mergeCell ref="B161:B163"/>
    <mergeCell ref="B164:B170"/>
    <mergeCell ref="B171:B176"/>
    <mergeCell ref="B177:B179"/>
    <mergeCell ref="B180:B185"/>
    <mergeCell ref="B186:B190"/>
    <mergeCell ref="B191:B195"/>
    <mergeCell ref="B196:B200"/>
    <mergeCell ref="B201:B202"/>
    <mergeCell ref="B206:B207"/>
    <mergeCell ref="B208:B210"/>
    <mergeCell ref="B211:B215"/>
    <mergeCell ref="B217:B221"/>
    <mergeCell ref="B222:B223"/>
    <mergeCell ref="B224:B226"/>
    <mergeCell ref="B227:B232"/>
    <mergeCell ref="B235:B238"/>
    <mergeCell ref="B239:B245"/>
    <mergeCell ref="B248:B249"/>
    <mergeCell ref="B250:B252"/>
    <mergeCell ref="B253:B254"/>
    <mergeCell ref="B255:B256"/>
    <mergeCell ref="B259:B261"/>
    <mergeCell ref="B262:B263"/>
    <mergeCell ref="B264:B271"/>
    <mergeCell ref="B272:B274"/>
    <mergeCell ref="B275:B280"/>
    <mergeCell ref="B281:B283"/>
    <mergeCell ref="B284:B286"/>
    <mergeCell ref="B287:B289"/>
    <mergeCell ref="B290:B293"/>
    <mergeCell ref="B297:B298"/>
    <mergeCell ref="B299:B305"/>
    <mergeCell ref="B306:B30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整改情况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2026-08-04T16:04:00Z</dcterms:created>
  <dcterms:modified xsi:type="dcterms:W3CDTF">2026-08-13T17:50:16Z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{"Label":"1","ContentProducer":"001191110102MACQD9K64010000","ProduceID":"7670083981988498379","ReservedCode1":"","ContentPropagator":"","PropagateID":"","ReservedCode2":""}</vt:lpwstr>
  </property>
  <property fmtid="{D5CDD505-2E9C-101B-9397-08002B2CF9AE}" pid="3" name="KSOProductBuildVer">
    <vt:lpwstr>2052-11.8.2.10386</vt:lpwstr>
  </property>
  <property fmtid="{D5CDD505-2E9C-101B-9397-08002B2CF9AE}" pid="4" name="CalculationRule">
    <vt:i4>0</vt:i4>
  </property>
  <property fmtid="{D5CDD505-2E9C-101B-9397-08002B2CF9AE}" pid="5" name="ICV">
    <vt:lpwstr>88483438A09443D3B7B9505B7D8315A3_13</vt:lpwstr>
  </property>
</Properties>
</file>